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table+xml" PartName="/xl/tables/table4.xml"/>
  <Override ContentType="application/vnd.openxmlformats-officedocument.spreadsheetml.table+xml" PartName="/xl/tables/table29.xml"/>
  <Override ContentType="application/vnd.openxmlformats-officedocument.spreadsheetml.table+xml" PartName="/xl/tables/table28.xml"/>
  <Override ContentType="application/vnd.openxmlformats-officedocument.spreadsheetml.table+xml" PartName="/xl/tables/table15.xml"/>
  <Override ContentType="application/vnd.openxmlformats-officedocument.spreadsheetml.table+xml" PartName="/xl/tables/table8.xml"/>
  <Override ContentType="application/vnd.openxmlformats-officedocument.spreadsheetml.table+xml" PartName="/xl/tables/table24.xml"/>
  <Override ContentType="application/vnd.openxmlformats-officedocument.spreadsheetml.table+xml" PartName="/xl/tables/table11.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19.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14.xml"/>
  <Override ContentType="application/vnd.openxmlformats-officedocument.spreadsheetml.table+xml" PartName="/xl/tables/table23.xml"/>
  <Override ContentType="application/vnd.openxmlformats-officedocument.spreadsheetml.table+xml" PartName="/xl/tables/table9.xml"/>
  <Override ContentType="application/vnd.openxmlformats-officedocument.spreadsheetml.table+xml" PartName="/xl/tables/table18.xml"/>
  <Override ContentType="application/vnd.openxmlformats-officedocument.spreadsheetml.table+xml" PartName="/xl/tables/table1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2.xml"/>
  <Override ContentType="application/vnd.openxmlformats-officedocument.spreadsheetml.table+xml" PartName="/xl/tables/table2.xml"/>
  <Override ContentType="application/vnd.openxmlformats-officedocument.spreadsheetml.table+xml" PartName="/xl/tables/table26.xml"/>
  <Override ContentType="application/vnd.openxmlformats-officedocument.spreadsheetml.table+xml" PartName="/xl/tables/table6.xml"/>
  <Override ContentType="application/vnd.openxmlformats-officedocument.spreadsheetml.table+xml" PartName="/xl/tables/table20.xml"/>
  <Override ContentType="application/vnd.openxmlformats-officedocument.spreadsheetml.table+xml" PartName="/xl/tables/table3.xml"/>
  <Override ContentType="application/vnd.openxmlformats-officedocument.spreadsheetml.table+xml" PartName="/xl/tables/table17.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28.xml"/>
  <Override ContentType="application/vnd.openxmlformats-officedocument.spreadsheetml.worksheet+xml" PartName="/xl/worksheets/sheet23.xml"/>
  <Override ContentType="application/vnd.openxmlformats-officedocument.spreadsheetml.worksheet+xml" PartName="/xl/worksheets/sheet10.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3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29.xml"/>
  <Override ContentType="application/vnd.openxmlformats-officedocument.spreadsheetml.worksheet+xml" PartName="/xl/worksheets/sheet20.xml"/>
  <Override ContentType="application/vnd.openxmlformats-officedocument.spreadsheetml.worksheet+xml" PartName="/xl/worksheets/sheet1.xml"/>
  <Override ContentType="application/vnd.openxmlformats-officedocument.spreadsheetml.worksheet+xml" PartName="/xl/worksheets/sheet24.xml"/>
  <Override ContentType="application/vnd.openxmlformats-officedocument.spreadsheetml.worksheet+xml" PartName="/xl/worksheets/sheet9.xml"/>
  <Override ContentType="application/vnd.openxmlformats-officedocument.spreadsheetml.worksheet+xml" PartName="/xl/worksheets/sheet33.xml"/>
  <Override ContentType="application/vnd.openxmlformats-officedocument.spreadsheetml.worksheet+xml" PartName="/xl/worksheets/sheet4.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25.xml"/>
  <Override ContentType="application/vnd.openxmlformats-officedocument.spreadsheetml.worksheet+xml" PartName="/xl/worksheets/sheet8.xml"/>
  <Override ContentType="application/vnd.openxmlformats-officedocument.spreadsheetml.worksheet+xml" PartName="/xl/worksheets/sheet34.xml"/>
  <Override ContentType="application/vnd.openxmlformats-officedocument.spreadsheetml.worksheet+xml" PartName="/xl/worksheets/sheet21.xml"/>
  <Override ContentType="application/vnd.openxmlformats-officedocument.spreadsheetml.worksheet+xml" PartName="/xl/worksheets/sheet30.xml"/>
  <Override ContentType="application/vnd.openxmlformats-officedocument.spreadsheetml.worksheet+xml" PartName="/xl/worksheets/sheet27.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8.xml"/>
  <Override ContentType="application/vnd.openxmlformats-officedocument.spreadsheetml.worksheet+xml" PartName="/xl/worksheets/sheet26.xml"/>
  <Override ContentType="application/vnd.openxmlformats-officedocument.spreadsheetml.worksheet+xml" PartName="/xl/worksheets/sheet31.xml"/>
  <Override ContentType="application/vnd.openxmlformats-officedocument.spreadsheetml.worksheet+xml" PartName="/xl/worksheets/sheet3.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26.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5.xml"/>
  <Override ContentType="application/vnd.openxmlformats-officedocument.drawing+xml" PartName="/xl/drawings/drawing30.xml"/>
  <Override ContentType="application/vnd.openxmlformats-officedocument.drawing+xml" PartName="/xl/drawings/drawing34.xml"/>
  <Override ContentType="application/vnd.openxmlformats-officedocument.drawing+xml" PartName="/xl/drawings/drawing21.xml"/>
  <Override ContentType="application/vnd.openxmlformats-officedocument.drawing+xml" PartName="/xl/drawings/drawing27.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31.xml"/>
  <Override ContentType="application/vnd.openxmlformats-officedocument.drawing+xml" PartName="/xl/drawings/drawing22.xml"/>
  <Override ContentType="application/vnd.openxmlformats-officedocument.drawing+xml" PartName="/xl/drawings/drawing10.xml"/>
  <Override ContentType="application/vnd.openxmlformats-officedocument.drawing+xml" PartName="/xl/drawings/drawing28.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32.xml"/>
  <Override ContentType="application/vnd.openxmlformats-officedocument.drawing+xml" PartName="/xl/drawings/drawing23.xml"/>
  <Override ContentType="application/vnd.openxmlformats-officedocument.drawing+xml" PartName="/xl/drawings/drawing33.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5.xml"/>
  <Override ContentType="application/vnd.openxmlformats-officedocument.drawing+xml" PartName="/xl/drawings/drawing29.xml"/>
  <Override ContentType="application/vnd.openxmlformats-officedocument.drawing+xml" PartName="/xl/drawings/drawing24.xml"/>
  <Override ContentType="application/vnd.openxmlformats-officedocument.drawing+xml" PartName="/xl/drawings/drawing11.xml"/>
  <Override ContentType="application/vnd.openxmlformats-officedocument.drawing+xml" PartName="/xl/drawings/drawing20.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houdsopgave" sheetId="1" r:id="rId4"/>
    <sheet state="visible" name="TK Stemoverzicht" sheetId="2" r:id="rId5"/>
    <sheet state="visible" name="EK Stemoverzicht" sheetId="3" r:id="rId6"/>
    <sheet state="visible" name="FV stemmen" sheetId="4" r:id="rId7"/>
    <sheet state="visible" name="Moties" sheetId="5" r:id="rId8"/>
    <sheet state="visible" name="Wetten &amp; Amendementen" sheetId="6" r:id="rId9"/>
    <sheet state="visible" name="Kamerstukken" sheetId="7" r:id="rId10"/>
    <sheet state="visible" name="Koninklijke Besluiten" sheetId="8" r:id="rId11"/>
    <sheet state="visible" name="Debatten, Kamervragen &amp; Nota's" sheetId="9" r:id="rId12"/>
    <sheet state="visible" name="RMTK Geschiedenis" sheetId="10" r:id="rId13"/>
    <sheet state="visible" name="Parlementaire Geschiedenis" sheetId="11" r:id="rId14"/>
    <sheet state="visible" name="RMTKaart" sheetId="12" r:id="rId15"/>
    <sheet state="visible" name="Kabinetten Geschiedenis" sheetId="13" r:id="rId16"/>
    <sheet state="visible" name="Activiteiten" sheetId="14" r:id="rId17"/>
    <sheet state="visible" name="Verkiezingen Geschiedenis" sheetId="15" r:id="rId18"/>
    <sheet state="visible" name="Hall of Fame" sheetId="16" r:id="rId19"/>
    <sheet state="visible" name="TK-House_of_Farts-II" sheetId="17" r:id="rId20"/>
    <sheet state="visible" name="EK-House_of_Farts-II" sheetId="18" r:id="rId21"/>
    <sheet state="visible" name="TK-th8-I" sheetId="19" r:id="rId22"/>
    <sheet state="visible" name="EK-th8-I" sheetId="20" r:id="rId23"/>
    <sheet state="visible" name="Agenda-House_of_Farts-I" sheetId="21" r:id="rId24"/>
    <sheet state="visible" name="TK-House_of_Farts-I" sheetId="22" r:id="rId25"/>
    <sheet state="visible" name="EK-House_of_Farts-I" sheetId="23" r:id="rId26"/>
    <sheet state="visible" name="Agenda-7Hielke-I" sheetId="24" r:id="rId27"/>
    <sheet state="visible" name="TK-7Hielke I" sheetId="25" r:id="rId28"/>
    <sheet state="visible" name="EK-7Hielke I" sheetId="26" r:id="rId29"/>
    <sheet state="visible" name="TK-HiddeVdV96 I" sheetId="27" r:id="rId30"/>
    <sheet state="visible" name="EK-HiddeVdV96 I" sheetId="28" r:id="rId31"/>
    <sheet state="visible" name="TK-Kohl II" sheetId="29" r:id="rId32"/>
    <sheet state="visible" name="EK-Kohl II" sheetId="30" r:id="rId33"/>
    <sheet state="visible" name="TK-Kohl I" sheetId="31" r:id="rId34"/>
    <sheet state="visible" name="EK-Kohl I" sheetId="32" r:id="rId35"/>
    <sheet state="visible" name="TK-graansmoothie-I" sheetId="33" r:id="rId36"/>
    <sheet state="visible" name="EK-Graansmoothie-I" sheetId="34" r:id="rId37"/>
  </sheets>
  <definedNames/>
  <calcPr/>
</workbook>
</file>

<file path=xl/comments1.xml><?xml version="1.0" encoding="utf-8"?>
<comments xmlns:r="http://schemas.openxmlformats.org/officeDocument/2006/relationships" xmlns="http://schemas.openxmlformats.org/spreadsheetml/2006/main">
  <authors>
    <author/>
  </authors>
  <commentList>
    <comment authorId="0" ref="C3">
      <text>
        <t xml:space="preserve">Met steun van AEIÖU, CDA en DdK</t>
      </text>
    </comment>
    <comment authorId="0" ref="B4">
      <text>
        <t xml:space="preserve">Door fout gemarkeerd als M0001</t>
      </text>
    </comment>
    <comment authorId="0" ref="C4">
      <text>
        <t xml:space="preserve">Met steun van AEIÖU, CDA en DdK</t>
      </text>
    </comment>
    <comment authorId="0" ref="C6">
      <text>
        <t xml:space="preserve">Met steun van FSP en SP</t>
      </text>
    </comment>
    <comment authorId="0" ref="C7">
      <text>
        <t xml:space="preserve">Met steun van PGV</t>
      </text>
    </comment>
    <comment authorId="0" ref="C12">
      <text>
        <t xml:space="preserve">Met steun van SP, CDA en DdK</t>
      </text>
    </comment>
    <comment authorId="0" ref="C13">
      <text>
        <t xml:space="preserve">Met steun van CDA, SP</t>
      </text>
    </comment>
    <comment authorId="0" ref="C14">
      <text>
        <t xml:space="preserve">Met steun van SDC, FSP en D'18</t>
      </text>
    </comment>
    <comment authorId="0" ref="C15">
      <text>
        <t xml:space="preserve">Met steun van CDA en VVD</t>
      </text>
    </comment>
    <comment authorId="0" ref="C16">
      <text>
        <t xml:space="preserve">Met steun van CDA</t>
      </text>
    </comment>
    <comment authorId="0" ref="C17">
      <text>
        <t xml:space="preserve">Met steun van D'18, DdK en GR</t>
      </text>
    </comment>
    <comment authorId="0" ref="C19">
      <text>
        <t xml:space="preserve">Met steun van DdK en CDA</t>
      </text>
    </comment>
    <comment authorId="0" ref="C31">
      <text>
        <t xml:space="preserve">Met steun van SP</t>
      </text>
    </comment>
    <comment authorId="0" ref="C33">
      <text>
        <t xml:space="preserve">Met steun van STR
</t>
      </text>
    </comment>
    <comment authorId="0" ref="C38">
      <text>
        <t xml:space="preserve">Met steun van DdK, FSP en VVD
</t>
      </text>
    </comment>
    <comment authorId="0" ref="C40">
      <text>
        <t xml:space="preserve">Met steun van DA'19 en SDC</t>
      </text>
    </comment>
    <comment authorId="0" ref="C42">
      <text>
        <t xml:space="preserve">Met steun van CDA</t>
      </text>
    </comment>
    <comment authorId="0" ref="C60">
      <text>
        <t xml:space="preserve">Met steun van B-RV en Lijst Alfus</t>
      </text>
    </comment>
    <comment authorId="0" ref="C65">
      <text>
        <t xml:space="preserve">Met steun van B-RV, LPF, FSP en Lijst Alfus</t>
      </text>
    </comment>
    <comment authorId="0" ref="C72">
      <text>
        <t xml:space="preserve">Met steun van de LPF, FSP, B-RV en Lijst Alfus</t>
      </text>
    </comment>
    <comment authorId="0" ref="C74">
      <text>
        <t xml:space="preserve">Met steun van LPF, B-RV, CVG en EGP</t>
      </text>
    </comment>
    <comment authorId="0" ref="C76">
      <text>
        <t xml:space="preserve">Met steun van BRV en LPU</t>
      </text>
    </comment>
    <comment authorId="0" ref="C152">
      <text>
        <t xml:space="preserve">Met steun van de SP</t>
      </text>
    </comment>
    <comment authorId="0" ref="C187">
      <text>
        <t xml:space="preserve">Met steun van:
MerijnZ1 (ACAB)
Toukiedatak (LTD)
theguus (1NL)
Hans-Wiegel (1NL)
MTFD (GPA) </t>
      </text>
    </comment>
    <comment authorId="0" ref="C194">
      <text>
        <t xml:space="preserve">met steun van LucasV98 (1NL)</t>
      </text>
    </comment>
    <comment authorId="0" ref="C222">
      <text>
        <t xml:space="preserve">Met steun van:
Wouttah (GPA)
Th8 (ACAB)
MerijnZ1 (ACAB)
Alfus (Onafh.)
yee_olde_alberto (SP)</t>
      </text>
    </comment>
    <comment authorId="0" ref="C224">
      <text>
        <t xml:space="preserve">Met steun van LordAverap (SP)</t>
      </text>
    </comment>
  </commentList>
</comments>
</file>

<file path=xl/comments2.xml><?xml version="1.0" encoding="utf-8"?>
<comments xmlns:r="http://schemas.openxmlformats.org/officeDocument/2006/relationships" xmlns="http://schemas.openxmlformats.org/spreadsheetml/2006/main">
  <authors>
    <author/>
  </authors>
  <commentList>
    <comment authorId="0" ref="D3">
      <text>
        <t xml:space="preserve">Met steun van CDA
</t>
      </text>
    </comment>
    <comment authorId="0" ref="G5">
      <text>
        <t xml:space="preserve">Door: JohanCAvdM (D'18)</t>
      </text>
    </comment>
    <comment authorId="0" ref="D6">
      <text>
        <t xml:space="preserve">Met steun van SP, VVD, FSP en DdK</t>
      </text>
    </comment>
    <comment authorId="0" ref="B7">
      <text>
        <t xml:space="preserve">Door fout gemarkeerd als W0004</t>
      </text>
    </comment>
    <comment authorId="0" ref="G7">
      <text>
        <t xml:space="preserve">Door: Dutchy54 (D'18)</t>
      </text>
    </comment>
    <comment authorId="0" ref="G8">
      <text>
        <t xml:space="preserve">Door: Keijeman (CDA)</t>
      </text>
    </comment>
    <comment authorId="0" ref="G10">
      <text>
        <t xml:space="preserve">Door: Alfus (MBE)</t>
      </text>
    </comment>
    <comment authorId="0" ref="B22">
      <text>
        <t xml:space="preserve">Wet is niet aangeduid als wet</t>
      </text>
    </comment>
    <comment authorId="0" ref="G23">
      <text>
        <t xml:space="preserve">Door: TheJelleyFish (B-RV)</t>
      </text>
    </comment>
    <comment authorId="0" ref="G24">
      <text>
        <t xml:space="preserve">Door: supertanno (LPU)</t>
      </text>
    </comment>
    <comment authorId="0" ref="G29">
      <text>
        <t xml:space="preserve">Door: 7Hielke (SP)
</t>
      </text>
    </comment>
    <comment authorId="0" ref="G31">
      <text>
        <t xml:space="preserve">Door: 123ricardo210 (LPU)
</t>
      </text>
    </comment>
    <comment authorId="0" ref="D33">
      <text>
        <t xml:space="preserve">Met steun van de SP en de EGP
</t>
      </text>
    </comment>
    <comment authorId="0" ref="G40">
      <text>
        <t xml:space="preserve">Door: Deef204 (LL)</t>
      </text>
    </comment>
    <comment authorId="0" ref="D41">
      <text>
        <t xml:space="preserve">Met Kajtuu98
</t>
      </text>
    </comment>
    <comment authorId="0" ref="G42">
      <text>
        <t xml:space="preserve">Door: theguus (BRV)</t>
      </text>
    </comment>
    <comment authorId="0" ref="D43">
      <text>
        <t xml:space="preserve">Met theguus, Blaatic, Hans-Wiegel, HiddeVdV96, MerijnZ1, LordAverap, Alfus, supertanno, Der_Kohl en ToukieDatak</t>
      </text>
    </comment>
    <comment authorId="0" ref="D46">
      <text>
        <t xml:space="preserve">Met supertanno
</t>
      </text>
    </comment>
    <comment authorId="0" ref="G46">
      <text>
        <t xml:space="preserve">Door: 123ricardo210 (SP)</t>
      </text>
    </comment>
    <comment authorId="0" ref="D47">
      <text>
        <t xml:space="preserve">Met supertanno
</t>
      </text>
    </comment>
    <comment authorId="0" ref="G48">
      <text>
        <t xml:space="preserve">Door: RkRs21 (PPR)</t>
      </text>
    </comment>
    <comment authorId="0" ref="G49">
      <text>
        <t xml:space="preserve">Door: Keijeman (1NL)</t>
      </text>
    </comment>
    <comment authorId="0" ref="D53">
      <text>
        <t xml:space="preserve">met sushishine, RkRs21 en klaex</t>
      </text>
    </comment>
    <comment authorId="0" ref="D56">
      <text>
        <t xml:space="preserve">Met steun van de SP, BRV en de ACB</t>
      </text>
    </comment>
    <comment authorId="0" ref="G56">
      <text>
        <t xml:space="preserve">Door: Th8 (ACB)</t>
      </text>
    </comment>
    <comment authorId="0" ref="H56">
      <text>
        <t xml:space="preserve">Meerderheid van stemmen. Wegens tegenstrijdigheid met A-2 en minder stemmen dan deze is A-1 toch afgewezen</t>
      </text>
    </comment>
    <comment authorId="0" ref="G57">
      <text>
        <t xml:space="preserve">Door: Ethiowolf (DA'19)</t>
      </text>
    </comment>
    <comment authorId="0" ref="D59">
      <text>
        <t xml:space="preserve">Met House_of_Farts</t>
      </text>
    </comment>
    <comment authorId="0" ref="G67">
      <text>
        <t xml:space="preserve">Door 7Hielke (SP) met steun van  /u/nofeckingusernames (PPR) en /u/dekks (SP)</t>
      </text>
    </comment>
    <comment authorId="0" ref="D71">
      <text>
        <t xml:space="preserve">Met steun van ACB en DA"19</t>
      </text>
    </comment>
    <comment authorId="0" ref="G79">
      <text>
        <t xml:space="preserve">Door: 7Hielke (SP)</t>
      </text>
    </comment>
    <comment authorId="0" ref="D80">
      <text>
        <t xml:space="preserve">Met steun van de PPR</t>
      </text>
    </comment>
    <comment authorId="0" ref="D81">
      <text>
        <t xml:space="preserve">met steun van ACAB</t>
      </text>
    </comment>
    <comment authorId="0" ref="G82">
      <text>
        <t xml:space="preserve">Door: 7Hielke (SP)
</t>
      </text>
    </comment>
    <comment authorId="0" ref="G83">
      <text>
        <t xml:space="preserve">Door: MerijnZ1 (ACAB)</t>
      </text>
    </comment>
    <comment authorId="0" ref="G87">
      <text>
        <t xml:space="preserve">Door 7Hielke (SP)</t>
      </text>
    </comment>
    <comment authorId="0" ref="G92">
      <text>
        <t xml:space="preserve">Door LucasV98 (1NL)</t>
      </text>
    </comment>
    <comment authorId="0" ref="G95">
      <text>
        <t xml:space="preserve">Door Der_Kohl (1NL)</t>
      </text>
    </comment>
    <comment authorId="0" ref="G99">
      <text>
        <t xml:space="preserve">Door LucasV98 (1NL)</t>
      </text>
    </comment>
    <comment authorId="0" ref="G108">
      <text>
        <t xml:space="preserve">door /u/TheJelleyFish
(NRV)</t>
      </text>
    </comment>
    <comment authorId="0" ref="G114">
      <text>
        <t xml:space="preserve">Door 7Hielke (SP)</t>
      </text>
    </comment>
    <comment authorId="0" ref="G119">
      <text>
        <t xml:space="preserve">Door MerijnZ1 (regering)</t>
      </text>
    </comment>
    <comment authorId="0" ref="G124">
      <text>
        <t xml:space="preserve">Door JohanCAvdM (regering)</t>
      </text>
    </comment>
    <comment authorId="0" ref="G128">
      <text>
        <t xml:space="preserve">Door JohanCAvdM (regering)</t>
      </text>
    </comment>
    <comment authorId="0" ref="G129">
      <text>
        <t xml:space="preserve">Door RkRs21 (Onafh.)</t>
      </text>
    </comment>
    <comment authorId="0" ref="G134">
      <text>
        <t xml:space="preserve">Door Keijeman (1NL)</t>
      </text>
    </comment>
    <comment authorId="0" ref="G141">
      <text>
        <t xml:space="preserve">Door House_of_Farts (regering)</t>
      </text>
    </comment>
    <comment authorId="0" ref="G142">
      <text>
        <t xml:space="preserve">Door House_of_Farts (regering)</t>
      </text>
    </comment>
    <comment authorId="0" ref="G146">
      <text>
        <t xml:space="preserve">Door 123Ricardo210 (ACAB)</t>
      </text>
    </comment>
  </commentList>
</comments>
</file>

<file path=xl/comments3.xml><?xml version="1.0" encoding="utf-8"?>
<comments xmlns:r="http://schemas.openxmlformats.org/officeDocument/2006/relationships" xmlns="http://schemas.openxmlformats.org/spreadsheetml/2006/main">
  <authors>
    <author/>
  </authors>
  <commentList>
    <comment authorId="0" ref="B9">
      <text>
        <t xml:space="preserve">Door fout gemarkeerd als KS0007</t>
      </text>
    </comment>
    <comment authorId="0" ref="B14">
      <text>
        <t xml:space="preserve">Door fout gemarkeerd als KB0011</t>
      </text>
    </comment>
    <comment authorId="0" ref="B40">
      <text>
        <t xml:space="preserve">Gelijk aan N0001</t>
      </text>
    </comment>
    <comment authorId="0" ref="B44">
      <text>
        <t xml:space="preserve">Door een fout in de KS telling is KS0038 twee keer gebruikt.</t>
      </text>
    </comment>
    <comment authorId="0" ref="B46">
      <text>
        <t xml:space="preserve">Door een fout in de KS telling is KS0038 twee keer gebruikt.</t>
      </text>
    </comment>
    <comment authorId="0" ref="B54">
      <text>
        <t xml:space="preserve">Gelijk aan N0002</t>
      </text>
    </comment>
    <comment authorId="0" ref="B60">
      <text>
        <t xml:space="preserve">Gelijk aan N0003</t>
      </text>
    </comment>
    <comment authorId="0" ref="B66">
      <text>
        <t xml:space="preserve">Door fout gemarkeerd als KS0028</t>
      </text>
    </comment>
    <comment authorId="0" ref="B67">
      <text>
        <t xml:space="preserve">Door fout gemarkeerd als KS0029</t>
      </text>
    </comment>
    <comment authorId="0" ref="B68">
      <text>
        <t xml:space="preserve">Door fout gemarkeerd als KS0030</t>
      </text>
    </comment>
    <comment authorId="0" ref="B69">
      <text>
        <t xml:space="preserve">Door fout gemarkeerd als KS0031
Ook gelijk aan N0004</t>
      </text>
    </comment>
    <comment authorId="0" ref="B70">
      <text>
        <t xml:space="preserve">Door fout gemarkeerd als KS0032</t>
      </text>
    </comment>
  </commentList>
</comments>
</file>

<file path=xl/comments4.xml><?xml version="1.0" encoding="utf-8"?>
<comments xmlns:r="http://schemas.openxmlformats.org/officeDocument/2006/relationships" xmlns="http://schemas.openxmlformats.org/spreadsheetml/2006/main">
  <authors>
    <author/>
  </authors>
  <commentList>
    <comment authorId="0" ref="Q9">
      <text>
        <t xml:space="preserve">D66-GL-S&amp;V</t>
      </text>
    </comment>
    <comment authorId="0" ref="BE9">
      <text>
        <t xml:space="preserve">VVD-D66-CU (+ RPN)</t>
      </text>
    </comment>
    <comment authorId="0" ref="BJ9">
      <text>
        <t xml:space="preserve">VVD-D66-CU (+ FVD)</t>
      </text>
    </comment>
    <comment authorId="0" ref="AD10">
      <text>
        <t xml:space="preserve">Alpha_C (a.i.)</t>
      </text>
    </comment>
    <comment authorId="0" ref="AD11">
      <text>
        <t xml:space="preserve">Roemane</t>
      </text>
    </comment>
    <comment authorId="0" ref="AJ11">
      <text>
        <t xml:space="preserve">Waz_met_jou</t>
      </text>
    </comment>
    <comment authorId="0" ref="CQ11">
      <text>
        <t xml:space="preserve">123ricardo210</t>
      </text>
    </comment>
    <comment authorId="0" ref="Q12">
      <text>
        <t xml:space="preserve">Blackdutchie</t>
      </text>
    </comment>
    <comment authorId="0" ref="BW12">
      <text>
        <t xml:space="preserve">splcy_meme</t>
      </text>
    </comment>
    <comment authorId="0" ref="F15">
      <text>
        <t xml:space="preserve">TheDomCook (a.i.)</t>
      </text>
    </comment>
    <comment authorId="0" ref="K15">
      <text>
        <t xml:space="preserve">SabasNL (a.i.)</t>
      </text>
    </comment>
    <comment authorId="0" ref="V15">
      <text>
        <t xml:space="preserve">OKELEUK (a.i.)</t>
      </text>
    </comment>
    <comment authorId="0" ref="AJ16">
      <text>
        <t xml:space="preserve">Koopabro (a.i.)</t>
      </text>
    </comment>
    <comment authorId="0" ref="AK16">
      <text>
        <t xml:space="preserve">Keijeman</t>
      </text>
    </comment>
    <comment authorId="0" ref="AL16">
      <text>
        <t xml:space="preserve">Koopabro (a.i.)</t>
      </text>
    </comment>
    <comment authorId="0" ref="AQ16">
      <text>
        <t xml:space="preserve">Roenmane (a.i.)</t>
      </text>
    </comment>
    <comment authorId="0" ref="BZ16">
      <text>
        <t xml:space="preserve">nickmanbear	</t>
      </text>
    </comment>
    <comment authorId="0" ref="CI16">
      <text>
        <t xml:space="preserve">th8 a.i.</t>
      </text>
    </comment>
    <comment authorId="0" ref="CV16">
      <text>
        <t xml:space="preserve">RkRs21 a.i.</t>
      </text>
    </comment>
    <comment authorId="0" ref="DI16">
      <text>
        <t xml:space="preserve">RkRs21 a.i.</t>
      </text>
    </comment>
    <comment authorId="0" ref="DP16">
      <text>
        <t xml:space="preserve">HiddeVdV96 a.i.</t>
      </text>
    </comment>
    <comment authorId="0" ref="DQ16">
      <text>
        <t xml:space="preserve">Alfus: discord moderatie
th8: reddit moderatie
Toukiedatak: spreadsheetbeheer</t>
      </text>
    </comment>
    <comment authorId="0" ref="AM17">
      <text>
        <t xml:space="preserve">SabasNL</t>
      </text>
    </comment>
    <comment authorId="0" ref="AR17">
      <text>
        <t xml:space="preserve">Quintionus</t>
      </text>
    </comment>
    <comment authorId="0" ref="AK18">
      <text>
        <t xml:space="preserve">debestestuurlui</t>
      </text>
    </comment>
    <comment authorId="0" ref="AM18">
      <text>
        <t xml:space="preserve">Roenmane</t>
      </text>
    </comment>
    <comment authorId="0" ref="CR18">
      <text>
        <t xml:space="preserve">RkRs21 (a.i.)</t>
      </text>
    </comment>
    <comment authorId="0" ref="B21">
      <text>
        <t xml:space="preserve">Socialistische Partij</t>
      </text>
    </comment>
    <comment authorId="0" ref="B22">
      <text>
        <t xml:space="preserve">Anarcho Communistische Arbeiders Beweging 
(tot 20 januari Anarcho-Communistische Beweging ACB)</t>
      </text>
    </comment>
    <comment authorId="0" ref="B23">
      <text>
        <t xml:space="preserve">1Nederland</t>
      </text>
    </comment>
    <comment authorId="0" ref="B24">
      <text>
        <t xml:space="preserve">Groen-Progressieve Alliantie</t>
      </text>
    </comment>
    <comment authorId="0" ref="B25">
      <text>
        <t xml:space="preserve">Nieuw-Rechts Verbond</t>
      </text>
    </comment>
    <comment authorId="0" ref="B26">
      <text>
        <t xml:space="preserve">Gulden Middenweg</t>
      </text>
    </comment>
    <comment authorId="0" ref="B28">
      <text>
        <t xml:space="preserve">Lijst Paddo_in_wonderland,
Stond ook kort bekend als Nedersaksisch Belang (NB)</t>
      </text>
    </comment>
    <comment authorId="0" ref="B30">
      <text>
        <t xml:space="preserve">Groep Dekoul</t>
      </text>
    </comment>
    <comment authorId="0" ref="B31">
      <text>
        <t xml:space="preserve">Socialistische Partij, stond ook bekend als SP-CPN en MPN</t>
      </text>
    </comment>
    <comment authorId="0" ref="H31">
      <text>
        <t xml:space="preserve">SP-CPN fusiepartij</t>
      </text>
    </comment>
    <comment authorId="0" ref="B32">
      <text>
        <t xml:space="preserve">Communistische Partij Nederland</t>
      </text>
    </comment>
    <comment authorId="0" ref="B33">
      <text>
        <t xml:space="preserve">Marxistische Partij Nederland</t>
      </text>
    </comment>
    <comment authorId="0" ref="B34">
      <text>
        <t xml:space="preserve">PiratenPartij,
</t>
      </text>
    </comment>
    <comment authorId="0" ref="B35">
      <text>
        <t xml:space="preserve">Partij van de Arbeid</t>
      </text>
    </comment>
    <comment authorId="0" ref="B36">
      <text>
        <t xml:space="preserve">Christen-Democratisch Appèl</t>
      </text>
    </comment>
    <comment authorId="0" ref="B37">
      <text>
        <t xml:space="preserve">GroenLinks</t>
      </text>
    </comment>
    <comment authorId="0" ref="B38">
      <text>
        <t xml:space="preserve">Partij voor de Vrijheid</t>
      </text>
    </comment>
    <comment authorId="0" ref="AD38">
      <text>
        <t xml:space="preserve">kooienb</t>
      </text>
    </comment>
    <comment authorId="0" ref="B39">
      <text>
        <t xml:space="preserve">Piratenpartij van de Arbeid,
Gedwongen tot naamswijziging door de RMTK-Raad</t>
      </text>
    </comment>
    <comment authorId="0" ref="J39">
      <text>
        <t xml:space="preserve">Blackdutchie</t>
      </text>
    </comment>
    <comment authorId="0" ref="B40">
      <text>
        <t xml:space="preserve">Solidariteit &amp; Vrijheid,
</t>
      </text>
    </comment>
    <comment authorId="0" ref="B41">
      <text>
        <t xml:space="preserve">Lijst Pim Fortuyn</t>
      </text>
    </comment>
    <comment authorId="0" ref="B42">
      <text>
        <t xml:space="preserve">Groep Vylander/SabasNL</t>
      </text>
    </comment>
    <comment authorId="0" ref="B43">
      <text>
        <t xml:space="preserve">Liberale Unie</t>
      </text>
    </comment>
    <comment authorId="0" ref="B44">
      <text>
        <t xml:space="preserve">Germaanse Partij Nederland</t>
      </text>
    </comment>
    <comment authorId="0" ref="B45">
      <text>
        <t xml:space="preserve">De Nieuwe Lijn</t>
      </text>
    </comment>
    <comment authorId="0" ref="B46">
      <text>
        <t xml:space="preserve">Socialistische Volkspartij Nederland</t>
      </text>
    </comment>
    <comment authorId="0" ref="B47">
      <text>
        <t xml:space="preserve">Pacifistisch Socialistische Partij</t>
      </text>
    </comment>
    <comment authorId="0" ref="B48">
      <text>
        <t xml:space="preserve">EenmansFractieNaftafractieCoalitiePartij</t>
      </text>
    </comment>
    <comment authorId="0" ref="B49">
      <text>
        <t xml:space="preserve">Staats-Gereformeerde Partij</t>
      </text>
    </comment>
    <comment authorId="0" ref="B50">
      <text>
        <t xml:space="preserve">Links Progressieve Unie</t>
      </text>
    </comment>
    <comment authorId="0" ref="B51">
      <text>
        <t xml:space="preserve">Lijst Th8</t>
      </text>
    </comment>
    <comment authorId="0" ref="B52">
      <text>
        <t xml:space="preserve">GROEN</t>
      </text>
    </comment>
    <comment authorId="0" ref="B53">
      <text>
        <t xml:space="preserve">Volkspartij voor Vrijheid en Democratie</t>
      </text>
    </comment>
    <comment authorId="0" ref="B54">
      <text>
        <t xml:space="preserve">Democraten 66</t>
      </text>
    </comment>
    <comment authorId="0" ref="B55">
      <text>
        <t xml:space="preserve">Forum voor Democratie, stond eerst bekend als PVV</t>
      </text>
    </comment>
    <comment authorId="0" ref="B56">
      <text>
        <t xml:space="preserve">ChristenUnie</t>
      </text>
    </comment>
    <comment authorId="0" ref="B57">
      <text>
        <t xml:space="preserve">Sociaal-Democratische Arbeiderspartij, stond eerst bekend als LPU</t>
      </text>
    </comment>
    <comment authorId="0" ref="B58">
      <text>
        <t xml:space="preserve">Republikeins Progressief Nederland,
stond eerst bekend als Republikeinse Partij Nederland</t>
      </text>
    </comment>
    <comment authorId="0" ref="B59">
      <text>
        <t xml:space="preserve">Katholieke Volkspartij</t>
      </text>
    </comment>
    <comment authorId="0" ref="B60">
      <text>
        <t xml:space="preserve">Volautomatische Luxecommunistische Partij Nederland</t>
      </text>
    </comment>
    <comment authorId="0" ref="B61">
      <text>
        <t xml:space="preserve">Partij voor Europa</t>
      </text>
    </comment>
    <comment authorId="0" ref="B62">
      <text>
        <t xml:space="preserve">5-sterren beweging</t>
      </text>
    </comment>
    <comment authorId="0" ref="BM62">
      <text>
        <t xml:space="preserve">The_Superjew</t>
      </text>
    </comment>
    <comment authorId="0" ref="B63">
      <text>
        <t xml:space="preserve">Partij tegen de Burger</t>
      </text>
    </comment>
    <comment authorId="0" ref="B64">
      <text>
        <t xml:space="preserve">Groot Capelse Partij</t>
      </text>
    </comment>
    <comment authorId="0" ref="BM64">
      <text>
        <t xml:space="preserve">WalterJopla</t>
      </text>
    </comment>
    <comment authorId="0" ref="B65">
      <text>
        <t xml:space="preserve">MileniumBeweging</t>
      </text>
    </comment>
    <comment authorId="0" ref="B66">
      <text>
        <t xml:space="preserve">Democraten'18</t>
      </text>
    </comment>
    <comment authorId="0" ref="B67">
      <text>
        <t xml:space="preserve">Groen beetje Rechts, stond ook bekend als GroenRechts</t>
      </text>
    </comment>
    <comment authorId="0" ref="B68">
      <text>
        <t xml:space="preserve">Nieuwe Linkse Unie</t>
      </text>
    </comment>
    <comment authorId="0" ref="B69">
      <text>
        <t xml:space="preserve">STREEP! 
Stond eerst bekend als GroenRechts en kortstondig als !PEERTS</t>
      </text>
    </comment>
    <comment authorId="0" ref="B70">
      <text>
        <t xml:space="preserve">Volkspartij voor Vrijheid en Democratie</t>
      </text>
    </comment>
    <comment authorId="0" ref="B71">
      <text>
        <t xml:space="preserve">Nederlandsche Volkspartij</t>
      </text>
    </comment>
    <comment authorId="0" ref="B72">
      <text>
        <t xml:space="preserve">Christen-Democratisch Appèl</t>
      </text>
    </comment>
    <comment authorId="0" ref="BU72">
      <text>
        <t xml:space="preserve">Keijeman</t>
      </text>
    </comment>
    <comment authorId="0" ref="B73">
      <text>
        <t xml:space="preserve">LIJST BOLKESTEIN-HABSBURGERS TERUG-KROKETTEN MOETEN WEER TERUG IN DE CAFETARIA VAN VVV OLDEHOLTPADE</t>
      </text>
    </comment>
    <comment authorId="0" ref="B74">
      <text>
        <t xml:space="preserve">Lijst DolfDeKraai</t>
      </text>
    </comment>
    <comment authorId="0" ref="B75">
      <text>
        <t xml:space="preserve">Partij Gezond Verstand</t>
      </text>
    </comment>
    <comment authorId="0" ref="BZ75">
      <text>
        <t xml:space="preserve">timelapse00</t>
      </text>
    </comment>
    <comment authorId="0" ref="B76">
      <text>
        <t xml:space="preserve">Sociaal Democratisch Collectief</t>
      </text>
    </comment>
    <comment authorId="0" ref="B77">
      <text>
        <t xml:space="preserve">Simpel Nederland,
Voorheen Lijst /u/Keijeman</t>
      </text>
    </comment>
    <comment authorId="0" ref="B78">
      <text>
        <t xml:space="preserve">Collectief van Vrijzinnige Gelovigen</t>
      </text>
    </comment>
    <comment authorId="0" ref="B79">
      <text>
        <t xml:space="preserve">De Partij</t>
      </text>
    </comment>
    <comment authorId="0" ref="B80">
      <text>
        <t xml:space="preserve">Europa Groen en Progressief</t>
      </text>
    </comment>
    <comment authorId="0" ref="B81">
      <text>
        <t xml:space="preserve">Onafhankelijke Burgerbeweging
Bij uitzondering mochten ze een aparte naam gebruiken zonder een partij te zijn, omdat het oprichten van de partij de simulatie zou destabiliseren. (OBB is de voorloper van 1NL)</t>
      </text>
    </comment>
    <comment authorId="0" ref="B82">
      <text>
        <t xml:space="preserve">Linkse Progressieve Unie,
Voorheen Sociaal-Democratisch Collectief (SDC) en Partij Goed Verstand (PGV)</t>
      </text>
    </comment>
    <comment authorId="0" ref="B83">
      <text>
        <t xml:space="preserve">Onafhankelijke Lijst 123Ricardo210</t>
      </text>
    </comment>
    <comment authorId="0" ref="CO83">
      <text>
        <t xml:space="preserve">123ricardo210</t>
      </text>
    </comment>
    <comment authorId="0" ref="B84">
      <text>
        <t xml:space="preserve">Friesche Seperatisten Partij</t>
      </text>
    </comment>
    <comment authorId="0" ref="B85">
      <text>
        <t xml:space="preserve">Lijst Pim Fortuyn
Voorheen Lijst /u/Keijeman en Simpel Nederland</t>
      </text>
    </comment>
    <comment authorId="0" ref="B86">
      <text>
        <t xml:space="preserve">Lijst /u/Alfus</t>
      </text>
    </comment>
    <comment authorId="0" ref="B87">
      <text>
        <t xml:space="preserve">Logisch Links</t>
      </text>
    </comment>
    <comment authorId="0" ref="B88">
      <text>
        <t xml:space="preserve">Democratische Alliantie'19
</t>
      </text>
    </comment>
    <comment authorId="0" ref="B89">
      <text>
        <t xml:space="preserve">Politieke Partij Radicalen</t>
      </text>
    </comment>
    <comment authorId="0" ref="B90">
      <text>
        <t xml:space="preserve">Breed-rechtse Volkspartij</t>
      </text>
    </comment>
    <comment authorId="0" ref="B91">
      <text>
        <t xml:space="preserve">Lijst Lander</t>
      </text>
    </comment>
    <comment authorId="0" ref="DO91">
      <text>
        <t xml:space="preserve">LanderAntwerp</t>
      </text>
    </comment>
    <comment authorId="0" ref="B92">
      <text>
        <t xml:space="preserve">Lijst Toukiedatak</t>
      </text>
    </comment>
  </commentList>
</comments>
</file>

<file path=xl/comments5.xml><?xml version="1.0" encoding="utf-8"?>
<comments xmlns:r="http://schemas.openxmlformats.org/officeDocument/2006/relationships" xmlns="http://schemas.openxmlformats.org/spreadsheetml/2006/main">
  <authors>
    <author/>
  </authors>
  <commentList>
    <comment authorId="0" ref="B1">
      <text>
        <t xml:space="preserve">PGV-SDC-MBE-SP</t>
      </text>
    </comment>
    <comment authorId="0" ref="I1">
      <text>
        <t xml:space="preserve">DA'19-PGV-SDC-STR</t>
      </text>
    </comment>
    <comment authorId="0" ref="O1">
      <text>
        <t xml:space="preserve">DA'19-SP</t>
      </text>
    </comment>
    <comment authorId="0" ref="S1">
      <text>
        <t xml:space="preserve">DA'19-LPU</t>
      </text>
    </comment>
    <comment authorId="0" ref="Y1">
      <text>
        <t xml:space="preserve">SP-DA'19-BRV-ALFUS</t>
      </text>
    </comment>
    <comment authorId="0" ref="AE1">
      <text>
        <t xml:space="preserve">PPR-LL-DA'19</t>
      </text>
    </comment>
    <comment authorId="0" ref="AJ1">
      <text>
        <t xml:space="preserve">1NL-PPR-ACAB</t>
      </text>
    </comment>
    <comment authorId="0" ref="AR1">
      <text>
        <t xml:space="preserve">GPA-ACAB
</t>
      </text>
    </comment>
    <comment authorId="0" ref="BE1">
      <text>
        <t xml:space="preserve">GPA-1NL-NRV</t>
      </text>
    </comment>
    <comment authorId="0" ref="AY27">
      <text>
        <t xml:space="preserve">LanderAntwerp</t>
      </text>
    </comment>
  </commentList>
</comments>
</file>

<file path=xl/comments6.xml><?xml version="1.0" encoding="utf-8"?>
<comments xmlns:r="http://schemas.openxmlformats.org/officeDocument/2006/relationships" xmlns="http://schemas.openxmlformats.org/spreadsheetml/2006/main">
  <authors>
    <author/>
  </authors>
  <commentList>
    <comment authorId="0" ref="G59">
      <text>
        <t xml:space="preserve">House_of_Farts a.i.
</t>
      </text>
    </comment>
  </commentList>
</comments>
</file>

<file path=xl/comments7.xml><?xml version="1.0" encoding="utf-8"?>
<comments xmlns:r="http://schemas.openxmlformats.org/officeDocument/2006/relationships" xmlns="http://schemas.openxmlformats.org/spreadsheetml/2006/main">
  <authors>
    <author/>
  </authors>
  <commentList>
    <comment authorId="0" ref="E12">
      <text>
        <t xml:space="preserve">Democraten 66</t>
      </text>
    </comment>
    <comment authorId="0" ref="L12">
      <text>
        <t xml:space="preserve">Democraten 66</t>
      </text>
    </comment>
    <comment authorId="0" ref="R12">
      <text>
        <t xml:space="preserve">Democraten 66</t>
      </text>
    </comment>
    <comment authorId="0" ref="Y12">
      <text>
        <t xml:space="preserve">Democraten 66</t>
      </text>
    </comment>
    <comment authorId="0" ref="AE12">
      <text>
        <t xml:space="preserve">Democraten 66</t>
      </text>
    </comment>
    <comment authorId="0" ref="AM12">
      <text>
        <t xml:space="preserve">Democraten 66</t>
      </text>
    </comment>
    <comment authorId="0" ref="AU12">
      <text>
        <t xml:space="preserve">Volkspartij voor Vrijheid en Democratie</t>
      </text>
    </comment>
    <comment authorId="0" ref="BC12">
      <text>
        <t xml:space="preserve">Sociaal Democratisch Collectief</t>
      </text>
    </comment>
    <comment authorId="0" ref="BI12">
      <text>
        <t xml:space="preserve">Democratische Alliantie'19</t>
      </text>
    </comment>
    <comment authorId="0" ref="BQ12">
      <text>
        <t xml:space="preserve">1Nederland</t>
      </text>
    </comment>
    <comment authorId="0" ref="BX12">
      <text>
        <t xml:space="preserve">Groen-Progressieve Alliantie</t>
      </text>
    </comment>
    <comment authorId="0" ref="E13">
      <text>
        <t xml:space="preserve">Volkspartij voor Vrijheid en Democratie</t>
      </text>
    </comment>
    <comment authorId="0" ref="L13">
      <text>
        <t xml:space="preserve">GroenLinks</t>
      </text>
    </comment>
    <comment authorId="0" ref="M13">
      <text>
        <t xml:space="preserve">GroenLinks</t>
      </text>
    </comment>
    <comment authorId="0" ref="N13">
      <text>
        <t xml:space="preserve">GroenLinks</t>
      </text>
    </comment>
    <comment authorId="0" ref="O13">
      <text>
        <t xml:space="preserve">GroenLinks</t>
      </text>
    </comment>
    <comment authorId="0" ref="R13">
      <text>
        <t xml:space="preserve">GroenLinks</t>
      </text>
    </comment>
    <comment authorId="0" ref="Y13">
      <text>
        <t xml:space="preserve">GroenLinks</t>
      </text>
    </comment>
    <comment authorId="0" ref="AE13">
      <text>
        <t xml:space="preserve">GroenLinks</t>
      </text>
    </comment>
    <comment authorId="0" ref="AM13">
      <text>
        <t xml:space="preserve">GROEN</t>
      </text>
    </comment>
    <comment authorId="0" ref="AU13">
      <text>
        <t xml:space="preserve">Sociaal-Democratische Arbeiderspartij, stond eerst bekend als LPU</t>
      </text>
    </comment>
    <comment authorId="0" ref="BC13">
      <text>
        <t xml:space="preserve">Partij Gezond Verstand</t>
      </text>
    </comment>
    <comment authorId="0" ref="BI13">
      <text>
        <t xml:space="preserve">Socialistische Partij</t>
      </text>
    </comment>
    <comment authorId="0" ref="BQ13">
      <text>
        <t xml:space="preserve">Politieke Partij Radicalen</t>
      </text>
    </comment>
    <comment authorId="0" ref="BX13">
      <text>
        <t xml:space="preserve">Anarcho Communistische Arbeiders Beweging 
(tot 20 januari Anarcho-Communistische Beweging ACB)</t>
      </text>
    </comment>
    <comment authorId="0" ref="E14">
      <text>
        <t xml:space="preserve">GroenLinks</t>
      </text>
    </comment>
    <comment authorId="0" ref="L14">
      <text>
        <t xml:space="preserve">Volkspartij voor Vrijheid en Democratie</t>
      </text>
    </comment>
    <comment authorId="0" ref="M14">
      <text>
        <t xml:space="preserve">Volkspartij voor Vrijheid en Democratie</t>
      </text>
    </comment>
    <comment authorId="0" ref="N14">
      <text>
        <t xml:space="preserve">Volkspartij voor Vrijheid en Democratie</t>
      </text>
    </comment>
    <comment authorId="0" ref="O14">
      <text>
        <t xml:space="preserve">Volkspartij voor Vrijheid en Democratie</t>
      </text>
    </comment>
    <comment authorId="0" ref="R14">
      <text>
        <t xml:space="preserve">Communistische Partij Nederland</t>
      </text>
    </comment>
    <comment authorId="0" ref="Y14">
      <text>
        <t xml:space="preserve">Communistische Partij Nederland</t>
      </text>
    </comment>
    <comment authorId="0" ref="AE14">
      <text>
        <t xml:space="preserve">Pacifistisch Socialistische Partij</t>
      </text>
    </comment>
    <comment authorId="0" ref="AM14">
      <text>
        <t xml:space="preserve">Links Progressieve Unie</t>
      </text>
    </comment>
    <comment authorId="0" ref="AU14">
      <text>
        <t xml:space="preserve">Democraten 66</t>
      </text>
    </comment>
    <comment authorId="0" ref="BC14">
      <text>
        <t xml:space="preserve">Democraten'18</t>
      </text>
    </comment>
    <comment authorId="0" ref="BI14">
      <text>
        <t xml:space="preserve">Sociaal Democratisch Collectief</t>
      </text>
    </comment>
    <comment authorId="0" ref="BQ14">
      <text>
        <t xml:space="preserve">Logisch Links</t>
      </text>
    </comment>
    <comment authorId="0" ref="BX14">
      <text>
        <t xml:space="preserve">1Nederland</t>
      </text>
    </comment>
    <comment authorId="0" ref="E15">
      <text>
        <t xml:space="preserve">Partij van de Arbeid</t>
      </text>
    </comment>
    <comment authorId="0" ref="L15">
      <text>
        <t xml:space="preserve">Marxistische Partij Nederland</t>
      </text>
    </comment>
    <comment authorId="0" ref="R15">
      <text>
        <t xml:space="preserve">Volkspartij voor Vrijheid en Democratie</t>
      </text>
    </comment>
    <comment authorId="0" ref="Y15">
      <text>
        <t xml:space="preserve">Volkspartij voor Vrijheid en Democratie</t>
      </text>
    </comment>
    <comment authorId="0" ref="AE15">
      <text>
        <t xml:space="preserve">Volkspartij voor Vrijheid en Democratie</t>
      </text>
    </comment>
    <comment authorId="0" ref="AM15">
      <text>
        <t xml:space="preserve">Forum voor Democratie, stond eerst bekend als PVV</t>
      </text>
    </comment>
    <comment authorId="0" ref="AU15">
      <text>
        <t xml:space="preserve">Forum voor Democratie, stond eerst bekend als PVV</t>
      </text>
    </comment>
    <comment authorId="0" ref="BC15">
      <text>
        <t xml:space="preserve">MileniumBeweging</t>
      </text>
    </comment>
    <comment authorId="0" ref="BI15">
      <text>
        <t xml:space="preserve">Breed-rechtse Volkspartij</t>
      </text>
    </comment>
    <comment authorId="0" ref="BQ15">
      <text>
        <t xml:space="preserve">Socialistische Partij</t>
      </text>
    </comment>
    <comment authorId="0" ref="BX15">
      <text>
        <t xml:space="preserve">Socialistische Partij</t>
      </text>
    </comment>
    <comment authorId="0" ref="E16">
      <text>
        <t xml:space="preserve">Communistische Partij Nederland</t>
      </text>
    </comment>
    <comment authorId="0" ref="L16">
      <text>
        <t xml:space="preserve">Partij voor de Vrijheid</t>
      </text>
    </comment>
    <comment authorId="0" ref="R16">
      <text>
        <t xml:space="preserve">Partij voor de Vrijheid</t>
      </text>
    </comment>
    <comment authorId="0" ref="Y16">
      <text>
        <t xml:space="preserve">Partij voor de Vrijheid</t>
      </text>
    </comment>
    <comment authorId="0" ref="AE16">
      <text>
        <t xml:space="preserve">Communistische Partij Nederland</t>
      </text>
    </comment>
    <comment authorId="0" ref="AM16">
      <text>
        <t xml:space="preserve">Volkspartij voor Vrijheid en Democratie</t>
      </text>
    </comment>
    <comment authorId="0" ref="AU16">
      <text>
        <t xml:space="preserve">ChristenUnie</t>
      </text>
    </comment>
    <comment authorId="0" ref="BC16">
      <text>
        <t xml:space="preserve">Socialistische Partij</t>
      </text>
    </comment>
    <comment authorId="0" ref="BI16">
      <text>
        <t xml:space="preserve">Partij Gezond Verstand</t>
      </text>
    </comment>
    <comment authorId="0" ref="BQ16">
      <text>
        <t xml:space="preserve">Breed-rechtse Volkspartij</t>
      </text>
    </comment>
    <comment authorId="0" ref="BX16">
      <text>
        <t xml:space="preserve">Lijst Toukiedatak</t>
      </text>
    </comment>
    <comment authorId="0" ref="E17">
      <text>
        <t xml:space="preserve">Partij voor de Vrijheid</t>
      </text>
    </comment>
    <comment authorId="0" ref="L17">
      <text>
        <t xml:space="preserve">Solidariteit &amp; Vrijheid</t>
      </text>
    </comment>
    <comment authorId="0" ref="R17">
      <text>
        <t xml:space="preserve">Solidariteit &amp; Vrijheid</t>
      </text>
    </comment>
    <comment authorId="0" ref="Y17">
      <text>
        <t xml:space="preserve">Germaanse Partij Nederland</t>
      </text>
    </comment>
    <comment authorId="0" ref="AE17">
      <text>
        <t xml:space="preserve">Partij voor de Vrijheid</t>
      </text>
    </comment>
    <comment authorId="0" ref="AM17">
      <text>
        <t xml:space="preserve">ChristenUnie</t>
      </text>
    </comment>
    <comment authorId="0" ref="AU17">
      <text>
        <t xml:space="preserve">Republikeins Progressief Nederland,
stond eerst bekend als Republikeinse Partij Nederland</t>
      </text>
    </comment>
    <comment authorId="0" ref="BC17">
      <text>
        <t xml:space="preserve">Christen-Democratisch Appèl</t>
      </text>
    </comment>
    <comment authorId="0" ref="BI17">
      <text>
        <t xml:space="preserve">Friesche Seperatisten Partij</t>
      </text>
    </comment>
    <comment authorId="0" ref="BQ17">
      <text>
        <t xml:space="preserve">Anarcho-Communistische Beweging </t>
      </text>
    </comment>
    <comment authorId="0" ref="E18">
      <text>
        <t xml:space="preserve">Christen-Democratisch Appèl</t>
      </text>
    </comment>
    <comment authorId="0" ref="L18">
      <text>
        <t xml:space="preserve">Christen-Democratisch Appèl</t>
      </text>
    </comment>
    <comment authorId="0" ref="R18">
      <text>
        <t xml:space="preserve">De Nieuwe Lijn</t>
      </text>
    </comment>
    <comment authorId="0" ref="Y18">
      <text>
        <t xml:space="preserve">De Nieuwe Lijn</t>
      </text>
    </comment>
    <comment authorId="0" ref="AE18">
      <text>
        <t xml:space="preserve">Socialistische Volkspartij Nederland</t>
      </text>
    </comment>
    <comment authorId="0" ref="AM18">
      <text>
        <t xml:space="preserve">Lijst Th8</t>
      </text>
    </comment>
    <comment authorId="0" ref="AU18">
      <text>
        <t xml:space="preserve">GROEN</t>
      </text>
    </comment>
    <comment authorId="0" ref="BC18">
      <text>
        <t xml:space="preserve">LIJST BOLKESTEIN-HABSBURGERS TERUG-KROKETTEN MOETEN WEER TERUG IN DE CAFETARIA VAN VVV OLDEHOLTPADE</t>
      </text>
    </comment>
    <comment authorId="0" ref="BI18">
      <text>
        <t xml:space="preserve">Lijst /u/Alfus</t>
      </text>
    </comment>
    <comment authorId="0" ref="BQ18">
      <text>
        <t xml:space="preserve">Democratische Alliantie'19</t>
      </text>
    </comment>
    <comment authorId="0" ref="E19">
      <text>
        <t xml:space="preserve">Socialistische Partij, stond ook bekend als SP-CPN en MPN</t>
      </text>
    </comment>
    <comment authorId="0" ref="L19">
      <text>
        <t xml:space="preserve">PiratenPartij,</t>
      </text>
    </comment>
    <comment authorId="0" ref="R19">
      <text>
        <t xml:space="preserve">Christen-Democratisch Appèl</t>
      </text>
    </comment>
    <comment authorId="0" ref="Y19">
      <text>
        <t xml:space="preserve">Pacifistisch Socialistische Partij</t>
      </text>
    </comment>
    <comment authorId="0" ref="BC19">
      <text>
        <t xml:space="preserve">Volkspartij voor Vrijheid en Democratie</t>
      </text>
    </comment>
    <comment authorId="0" ref="BI19">
      <text>
        <t xml:space="preserve">Lijst Pim Fortuyn
Voorheen Lijst /u/Keijeman en Simpel Nederland</t>
      </text>
    </comment>
    <comment authorId="0" ref="BQ19">
      <text>
        <t xml:space="preserve">Lijst Toukiedatak</t>
      </text>
    </comment>
    <comment authorId="0" ref="E20">
      <text>
        <t xml:space="preserve">PiratenPartij,</t>
      </text>
    </comment>
    <comment authorId="0" ref="Y20">
      <text>
        <t xml:space="preserve">Partij van de Arbeid</t>
      </text>
    </comment>
    <comment authorId="0" ref="BC20">
      <text>
        <t xml:space="preserve">Friesche Seperatisten Partij</t>
      </text>
    </comment>
    <comment authorId="0" ref="E21">
      <text>
        <t xml:space="preserve">Simpel Nederland
</t>
      </text>
    </comment>
    <comment authorId="0" ref="BC21">
      <text>
        <t xml:space="preserve">Groen beetje Rechts, stond ook bekend als GroenRechts</t>
      </text>
    </comment>
    <comment authorId="0" ref="E22">
      <text>
        <t xml:space="preserve">Groep Dekoul</t>
      </text>
    </comment>
    <comment authorId="0" ref="BC22">
      <text>
        <t xml:space="preserve">Lijst DolfDeKraai</t>
      </text>
    </comment>
  </commentList>
</comments>
</file>

<file path=xl/comments8.xml><?xml version="1.0" encoding="utf-8"?>
<comments xmlns:r="http://schemas.openxmlformats.org/officeDocument/2006/relationships" xmlns="http://schemas.openxmlformats.org/spreadsheetml/2006/main">
  <authors>
    <author/>
  </authors>
  <commentList>
    <comment authorId="0" ref="AW4">
      <text>
        <t xml:space="preserve">wegens de extra stemming de plus
</t>
      </text>
    </comment>
    <comment authorId="0" ref="I5">
      <text>
        <t xml:space="preserve">Stemming is anoniem gehouden door de Secretaris-Generaal. Wat individuele Kamerleden hebben gestemd is hierom niet in te zien.</t>
      </text>
    </comment>
  </commentList>
</comments>
</file>

<file path=xl/comments9.xml><?xml version="1.0" encoding="utf-8"?>
<comments xmlns:r="http://schemas.openxmlformats.org/officeDocument/2006/relationships" xmlns="http://schemas.openxmlformats.org/spreadsheetml/2006/main">
  <authors>
    <author/>
  </authors>
  <commentList>
    <comment authorId="0" ref="S29">
      <text>
        <t xml:space="preserve">Stem kwam te laat.</t>
      </text>
    </comment>
  </commentList>
</comments>
</file>

<file path=xl/sharedStrings.xml><?xml version="1.0" encoding="utf-8"?>
<sst xmlns="http://schemas.openxmlformats.org/spreadsheetml/2006/main" count="22978" uniqueCount="1966">
  <si>
    <t>/r/RMTK</t>
  </si>
  <si>
    <t>Reddit Model Tweede Kamer</t>
  </si>
  <si>
    <t>Partijprogramma's
actieve partijen:</t>
  </si>
  <si>
    <t>Statuten
actieve
partijen:</t>
  </si>
  <si>
    <t>Actieve partijen in de Tweede Kamer en daarbuiten:</t>
  </si>
  <si>
    <t>Partijleider:</t>
  </si>
  <si>
    <t>Huidige
Regering:</t>
  </si>
  <si>
    <t>Moderatoren:</t>
  </si>
  <si>
    <t>Overzichten:</t>
  </si>
  <si>
    <t>Overige links:</t>
  </si>
  <si>
    <t>Logo</t>
  </si>
  <si>
    <t>Partijnaam</t>
  </si>
  <si>
    <t>Afkorting</t>
  </si>
  <si>
    <t>Zetels</t>
  </si>
  <si>
    <t>Groen-Progressieve Alliantie</t>
  </si>
  <si>
    <t>GPA</t>
  </si>
  <si>
    <t>House_of_Farts</t>
  </si>
  <si>
    <t>Kabinet HoF-III</t>
  </si>
  <si>
    <t>Secretaris-Generaal:</t>
  </si>
  <si>
    <t>Stemmingsoverzicht</t>
  </si>
  <si>
    <t>Overige RMTK-zaken</t>
  </si>
  <si>
    <t>Tweede Kamer</t>
  </si>
  <si>
    <t>Hall of Fame</t>
  </si>
  <si>
    <t>Anarcho Communistische Arbeiders Beweging</t>
  </si>
  <si>
    <t>ACAB</t>
  </si>
  <si>
    <t>MerijnZ1</t>
  </si>
  <si>
    <t>Partijen in Regering:</t>
  </si>
  <si>
    <t>/u/HiddeVdV96</t>
  </si>
  <si>
    <t>GPA (7 zetels)</t>
  </si>
  <si>
    <t>Eerste Kamer</t>
  </si>
  <si>
    <t>Socialistische Partij</t>
  </si>
  <si>
    <t>SP</t>
  </si>
  <si>
    <t>7Hielke</t>
  </si>
  <si>
    <t>Voorzitters:</t>
  </si>
  <si>
    <t>1NL (4 zetels)</t>
  </si>
  <si>
    <t>1Nederland</t>
  </si>
  <si>
    <t>1NL</t>
  </si>
  <si>
    <t>LucasV98</t>
  </si>
  <si>
    <t>/u/Alfus</t>
  </si>
  <si>
    <t>Geschiedenis</t>
  </si>
  <si>
    <t>Overige Informatie:</t>
  </si>
  <si>
    <t>NRV (2 zetels)</t>
  </si>
  <si>
    <t>/u/th8</t>
  </si>
  <si>
    <t>RMTK Geschiedenis</t>
  </si>
  <si>
    <t>Word lid van een partij!</t>
  </si>
  <si>
    <t>Programma NRV</t>
  </si>
  <si>
    <t>Nieuw-Rechts Verbond</t>
  </si>
  <si>
    <t>NRV</t>
  </si>
  <si>
    <t>Hans-Wiegel</t>
  </si>
  <si>
    <t>/u/Toukiedatak</t>
  </si>
  <si>
    <t>Parlementaire Geschiedenis</t>
  </si>
  <si>
    <t>Programma GMW</t>
  </si>
  <si>
    <t>Gulden Midden Weg</t>
  </si>
  <si>
    <t>GMW</t>
  </si>
  <si>
    <t>Wmrps</t>
  </si>
  <si>
    <t>Regeerakkoord:</t>
  </si>
  <si>
    <t>Een Frisse Wind</t>
  </si>
  <si>
    <t>RMTK Kaart</t>
  </si>
  <si>
    <t>Programma LP</t>
  </si>
  <si>
    <t>Lijst Paddo_in_wonderland</t>
  </si>
  <si>
    <t>LP</t>
  </si>
  <si>
    <t>-</t>
  </si>
  <si>
    <t>Paddo_in_wonderland</t>
  </si>
  <si>
    <t>RMTK-Raad:</t>
  </si>
  <si>
    <t>Kabinetten Geschiedenis</t>
  </si>
  <si>
    <t>/u/Hans-Wiegel</t>
  </si>
  <si>
    <t>Activiteiten</t>
  </si>
  <si>
    <t>Oude Spreadsheets Pre-reset:</t>
  </si>
  <si>
    <t>/u/TheRealJanSanono</t>
  </si>
  <si>
    <t>Overige Subreddits:</t>
  </si>
  <si>
    <t>Verkiezingen Geschiedenis</t>
  </si>
  <si>
    <t>Agenda</t>
  </si>
  <si>
    <t>Kamerstukken</t>
  </si>
  <si>
    <t>Moties</t>
  </si>
  <si>
    <t>Archief</t>
  </si>
  <si>
    <t>Wetten &amp; Amendementen</t>
  </si>
  <si>
    <t>Koninklijke besluiten</t>
  </si>
  <si>
    <t>Debatten, Kamervragen &amp; Nota's</t>
  </si>
  <si>
    <t>Design by Der_Kohl</t>
  </si>
  <si>
    <t>Verkiezing XI</t>
  </si>
  <si>
    <t>Stemoverzicht
Tweede Kamer der Staten-Generaal</t>
  </si>
  <si>
    <t xml:space="preserve">Kabinet-House_of_Farts III
(GPA - 1NL - NRV)
</t>
  </si>
  <si>
    <t>TS0020</t>
  </si>
  <si>
    <t>TS0021</t>
  </si>
  <si>
    <t>TS0022</t>
  </si>
  <si>
    <t>TS0023</t>
  </si>
  <si>
    <t>Coalitie</t>
  </si>
  <si>
    <t>Partij</t>
  </si>
  <si>
    <t>Kamerlid</t>
  </si>
  <si>
    <t>Coalitie
(13)</t>
  </si>
  <si>
    <t>Ruben_politiek10</t>
  </si>
  <si>
    <t>Voor</t>
  </si>
  <si>
    <t>Tegen</t>
  </si>
  <si>
    <t>NG</t>
  </si>
  <si>
    <t>WiWaWouter666</t>
  </si>
  <si>
    <t>Mattusiac</t>
  </si>
  <si>
    <t>MFTD</t>
  </si>
  <si>
    <t>Ethiowolf</t>
  </si>
  <si>
    <t>HetParlement</t>
  </si>
  <si>
    <t>ChrisNoordzij</t>
  </si>
  <si>
    <t>Kajtuu98</t>
  </si>
  <si>
    <t>Keijeman</t>
  </si>
  <si>
    <t>Der_Kohl</t>
  </si>
  <si>
    <t>Dagelijksestijl</t>
  </si>
  <si>
    <t>Zaporion</t>
  </si>
  <si>
    <t>Oppositie
(12)</t>
  </si>
  <si>
    <t>th8</t>
  </si>
  <si>
    <t>Raaf___</t>
  </si>
  <si>
    <t>Sylviagony</t>
  </si>
  <si>
    <t>SimonScalary</t>
  </si>
  <si>
    <t>Mhykol_E</t>
  </si>
  <si>
    <t>LordAverap</t>
  </si>
  <si>
    <t>TheRealJanSanono</t>
  </si>
  <si>
    <t>Dutch_Dweorg</t>
  </si>
  <si>
    <t>yee_olde_Alberto</t>
  </si>
  <si>
    <t>LTD</t>
  </si>
  <si>
    <t>Toukiedatak</t>
  </si>
  <si>
    <t>SO</t>
  </si>
  <si>
    <t>NVT</t>
  </si>
  <si>
    <t>Statistieken</t>
  </si>
  <si>
    <t>Stem Onthouden (SO)</t>
  </si>
  <si>
    <t>Niet Gestemd (NG)</t>
  </si>
  <si>
    <t>Totaal</t>
  </si>
  <si>
    <t>Uitslag:</t>
  </si>
  <si>
    <t>Opkomst</t>
  </si>
  <si>
    <t>Opkomst (%)</t>
  </si>
  <si>
    <t> </t>
  </si>
  <si>
    <t>Stemoverzicht
Eerste Kamer der Staten-Generaal</t>
  </si>
  <si>
    <t xml:space="preserve">Kabinet-House_of_Farts II
(GPA - ACAB)
</t>
  </si>
  <si>
    <t>ES0014</t>
  </si>
  <si>
    <t>ES0015</t>
  </si>
  <si>
    <t>ES0016</t>
  </si>
  <si>
    <t>Coalitie
(2)</t>
  </si>
  <si>
    <t>Ongeldig</t>
  </si>
  <si>
    <t>tocqueville95</t>
  </si>
  <si>
    <t>Oppositie
(2)</t>
  </si>
  <si>
    <t>tariklfc</t>
  </si>
  <si>
    <t>Stemmen uitgebracht namens de fractievoorzitter (max 3 per lid)</t>
  </si>
  <si>
    <t>Ruben_politiek10 (FV)</t>
  </si>
  <si>
    <t>th8 (FV)</t>
  </si>
  <si>
    <t>7Hielke (FV)</t>
  </si>
  <si>
    <t>raaf___</t>
  </si>
  <si>
    <t>MAX BEREIKT</t>
  </si>
  <si>
    <t>Kajtuu98 (FV)</t>
  </si>
  <si>
    <t>Dagelijksestijl (FV)</t>
  </si>
  <si>
    <t>Stemmen uitgebracht namens de fractievoorzitter (vervangen leden)</t>
  </si>
  <si>
    <t>jlarti098</t>
  </si>
  <si>
    <t>RMTK Moties (M)</t>
  </si>
  <si>
    <t>Stemming</t>
  </si>
  <si>
    <t>Ministeriele verantwoording</t>
  </si>
  <si>
    <t>Opmerkingen:</t>
  </si>
  <si>
    <t>Kabinet</t>
  </si>
  <si>
    <t>Nummer:</t>
  </si>
  <si>
    <t>Namens
partij:</t>
  </si>
  <si>
    <t>Ingediend
door:</t>
  </si>
  <si>
    <t>Titel</t>
  </si>
  <si>
    <t>TK</t>
  </si>
  <si>
    <t>Verantw.
Ministerie</t>
  </si>
  <si>
    <t>Uitgevoerd
door
Minister?</t>
  </si>
  <si>
    <t>Kabinet-graansmoothie</t>
  </si>
  <si>
    <t>M0001</t>
  </si>
  <si>
    <t>D'18</t>
  </si>
  <si>
    <t>MTFD</t>
  </si>
  <si>
    <t>Ingetrokken</t>
  </si>
  <si>
    <t>OCWS</t>
  </si>
  <si>
    <t>M0002</t>
  </si>
  <si>
    <t>Aangenomen</t>
  </si>
  <si>
    <t>Stond aangeduid als M0001 ipv M0002</t>
  </si>
  <si>
    <t>M0003</t>
  </si>
  <si>
    <t>CDA</t>
  </si>
  <si>
    <t>Afgewezen</t>
  </si>
  <si>
    <t>M0004</t>
  </si>
  <si>
    <t>-___-_</t>
  </si>
  <si>
    <t>AZ</t>
  </si>
  <si>
    <t>M0005</t>
  </si>
  <si>
    <t>MBE</t>
  </si>
  <si>
    <t>Alfus</t>
  </si>
  <si>
    <t>Def</t>
  </si>
  <si>
    <t>M0006</t>
  </si>
  <si>
    <t>F&amp;SZ</t>
  </si>
  <si>
    <t>Nee</t>
  </si>
  <si>
    <t>M0007</t>
  </si>
  <si>
    <t>JohanCAvdM</t>
  </si>
  <si>
    <t>BuZa</t>
  </si>
  <si>
    <t>M0008</t>
  </si>
  <si>
    <t>M0009</t>
  </si>
  <si>
    <t>J&amp;V</t>
  </si>
  <si>
    <t>M0010</t>
  </si>
  <si>
    <t>O&amp;I</t>
  </si>
  <si>
    <t>M0011</t>
  </si>
  <si>
    <t>M0012</t>
  </si>
  <si>
    <t>Presidium</t>
  </si>
  <si>
    <t>M0013</t>
  </si>
  <si>
    <t>M0014</t>
  </si>
  <si>
    <t>M0015</t>
  </si>
  <si>
    <t>Paddo_In_Wonderland</t>
  </si>
  <si>
    <t>M0016</t>
  </si>
  <si>
    <t>Dutchy54</t>
  </si>
  <si>
    <t>V&amp;J</t>
  </si>
  <si>
    <t>M0017</t>
  </si>
  <si>
    <t>GR</t>
  </si>
  <si>
    <t>theguus</t>
  </si>
  <si>
    <t>M0018</t>
  </si>
  <si>
    <t>EZKW</t>
  </si>
  <si>
    <t>M0019</t>
  </si>
  <si>
    <t>M0020</t>
  </si>
  <si>
    <t>HiddeVdV96</t>
  </si>
  <si>
    <t>M0021</t>
  </si>
  <si>
    <t>Kabinet-Der_Kohl I</t>
  </si>
  <si>
    <t>M0022</t>
  </si>
  <si>
    <t>M0023</t>
  </si>
  <si>
    <t>M0024</t>
  </si>
  <si>
    <t>FEZ / BZKD</t>
  </si>
  <si>
    <t>M0025</t>
  </si>
  <si>
    <t>DA'19</t>
  </si>
  <si>
    <t>M0026</t>
  </si>
  <si>
    <t>OCW</t>
  </si>
  <si>
    <t>M0027</t>
  </si>
  <si>
    <t>FEZ</t>
  </si>
  <si>
    <t>M0028</t>
  </si>
  <si>
    <t>STR</t>
  </si>
  <si>
    <t>BZKD</t>
  </si>
  <si>
    <t>M0029</t>
  </si>
  <si>
    <t>M0030</t>
  </si>
  <si>
    <t>GWI</t>
  </si>
  <si>
    <t>M0031</t>
  </si>
  <si>
    <t>M0032</t>
  </si>
  <si>
    <t>M0033</t>
  </si>
  <si>
    <t>AEIÖU</t>
  </si>
  <si>
    <t>Vylander</t>
  </si>
  <si>
    <t>M0034</t>
  </si>
  <si>
    <t>M0035</t>
  </si>
  <si>
    <t>M0036</t>
  </si>
  <si>
    <t>M0037</t>
  </si>
  <si>
    <t>VVD</t>
  </si>
  <si>
    <t>Blaatic</t>
  </si>
  <si>
    <t>I&amp;M</t>
  </si>
  <si>
    <t>M0038</t>
  </si>
  <si>
    <t>M0039</t>
  </si>
  <si>
    <t>M0040</t>
  </si>
  <si>
    <t>M0041</t>
  </si>
  <si>
    <t>Kabinet-Der_Kohl II</t>
  </si>
  <si>
    <t>M0042</t>
  </si>
  <si>
    <t>LPU</t>
  </si>
  <si>
    <t>RkRs21</t>
  </si>
  <si>
    <t>M0043</t>
  </si>
  <si>
    <t>CVG</t>
  </si>
  <si>
    <t>BZK</t>
  </si>
  <si>
    <t>M0044</t>
  </si>
  <si>
    <t>Arnie15</t>
  </si>
  <si>
    <t>K&amp;N</t>
  </si>
  <si>
    <t>M0045</t>
  </si>
  <si>
    <t>timelapse00</t>
  </si>
  <si>
    <t>VSZ</t>
  </si>
  <si>
    <t>M0046</t>
  </si>
  <si>
    <t>BRV</t>
  </si>
  <si>
    <t>M0047</t>
  </si>
  <si>
    <t>M0048</t>
  </si>
  <si>
    <t>ALFUS</t>
  </si>
  <si>
    <t>M0049</t>
  </si>
  <si>
    <t>supertanno</t>
  </si>
  <si>
    <t>M0050</t>
  </si>
  <si>
    <t>disc777</t>
  </si>
  <si>
    <t>Kabinet-HiddeVdV96</t>
  </si>
  <si>
    <t>M0051</t>
  </si>
  <si>
    <t>M0052</t>
  </si>
  <si>
    <t>M0053</t>
  </si>
  <si>
    <t>Ja</t>
  </si>
  <si>
    <t>M0054</t>
  </si>
  <si>
    <t>M0055</t>
  </si>
  <si>
    <t>M0056</t>
  </si>
  <si>
    <t>M0057</t>
  </si>
  <si>
    <t>M0058</t>
  </si>
  <si>
    <t>M0059</t>
  </si>
  <si>
    <t>LPF</t>
  </si>
  <si>
    <t>M0060</t>
  </si>
  <si>
    <t>R&amp;D</t>
  </si>
  <si>
    <t>M0061</t>
  </si>
  <si>
    <t>M0062</t>
  </si>
  <si>
    <t>BZK/I&amp;M</t>
  </si>
  <si>
    <t>M0063</t>
  </si>
  <si>
    <t>M0064</t>
  </si>
  <si>
    <t>JorenM</t>
  </si>
  <si>
    <t>M0065</t>
  </si>
  <si>
    <t>M0066</t>
  </si>
  <si>
    <t>M0067</t>
  </si>
  <si>
    <t>Vervallen</t>
  </si>
  <si>
    <t>Minister opgestapt voor stemming</t>
  </si>
  <si>
    <t>M0068</t>
  </si>
  <si>
    <t>M0069</t>
  </si>
  <si>
    <t>M0070</t>
  </si>
  <si>
    <t>M0071</t>
  </si>
  <si>
    <t>AZ/BuZa</t>
  </si>
  <si>
    <t>M0072</t>
  </si>
  <si>
    <t>123ricardo210</t>
  </si>
  <si>
    <t>M0073</t>
  </si>
  <si>
    <t>M0074</t>
  </si>
  <si>
    <t>M0075</t>
  </si>
  <si>
    <t>M0076</t>
  </si>
  <si>
    <t>Kabinet-7Hielke</t>
  </si>
  <si>
    <t>M0077</t>
  </si>
  <si>
    <t>RkRs21/HiddeVdV96</t>
  </si>
  <si>
    <t>M0078</t>
  </si>
  <si>
    <t>M0079</t>
  </si>
  <si>
    <t>M0080</t>
  </si>
  <si>
    <t>EGP</t>
  </si>
  <si>
    <t>Deef204</t>
  </si>
  <si>
    <t>M0081</t>
  </si>
  <si>
    <t>TheJelleyFish</t>
  </si>
  <si>
    <t>Fin</t>
  </si>
  <si>
    <t>M0082</t>
  </si>
  <si>
    <t>OBB</t>
  </si>
  <si>
    <t>M0083</t>
  </si>
  <si>
    <t>M0084</t>
  </si>
  <si>
    <t>M0085</t>
  </si>
  <si>
    <t>M0086</t>
  </si>
  <si>
    <t>M0087</t>
  </si>
  <si>
    <t>M0088</t>
  </si>
  <si>
    <t>M0089</t>
  </si>
  <si>
    <t>M0090</t>
  </si>
  <si>
    <t>LL</t>
  </si>
  <si>
    <t>M0091</t>
  </si>
  <si>
    <t>V&amp;J/OCW</t>
  </si>
  <si>
    <t>M0092</t>
  </si>
  <si>
    <t>M0093</t>
  </si>
  <si>
    <t>M0094</t>
  </si>
  <si>
    <t>kajtuu98</t>
  </si>
  <si>
    <t>M0095</t>
  </si>
  <si>
    <t>M0096</t>
  </si>
  <si>
    <t>M0097</t>
  </si>
  <si>
    <t>M0098</t>
  </si>
  <si>
    <t>M0099</t>
  </si>
  <si>
    <t>M0100</t>
  </si>
  <si>
    <t>ACB</t>
  </si>
  <si>
    <t>M0101</t>
  </si>
  <si>
    <t>BuZa/K&amp;N</t>
  </si>
  <si>
    <t>M0102</t>
  </si>
  <si>
    <t>M0103</t>
  </si>
  <si>
    <t>M0104</t>
  </si>
  <si>
    <t>M0105</t>
  </si>
  <si>
    <t>M0106</t>
  </si>
  <si>
    <t>M0107</t>
  </si>
  <si>
    <t>M0108</t>
  </si>
  <si>
    <t>M0109</t>
  </si>
  <si>
    <t>DOS</t>
  </si>
  <si>
    <t>M0110</t>
  </si>
  <si>
    <t>M0111</t>
  </si>
  <si>
    <t>M0112</t>
  </si>
  <si>
    <t>OLR</t>
  </si>
  <si>
    <t>BZK/VSZ</t>
  </si>
  <si>
    <t>M0113</t>
  </si>
  <si>
    <t>Kabinet-House_of_Farts</t>
  </si>
  <si>
    <t>M0114</t>
  </si>
  <si>
    <t>V&amp;D</t>
  </si>
  <si>
    <t>M0115</t>
  </si>
  <si>
    <t>M0116</t>
  </si>
  <si>
    <t>FESZ</t>
  </si>
  <si>
    <t>M0117</t>
  </si>
  <si>
    <t>BZKJ</t>
  </si>
  <si>
    <t>M0118</t>
  </si>
  <si>
    <t>M0119</t>
  </si>
  <si>
    <t>BHO</t>
  </si>
  <si>
    <t>M0120</t>
  </si>
  <si>
    <t>KNI</t>
  </si>
  <si>
    <t>M0121</t>
  </si>
  <si>
    <t>M0122</t>
  </si>
  <si>
    <t>M0123</t>
  </si>
  <si>
    <t>M0124</t>
  </si>
  <si>
    <t>M0125</t>
  </si>
  <si>
    <t>M0126</t>
  </si>
  <si>
    <t>M0127</t>
  </si>
  <si>
    <t>AZ/BHO</t>
  </si>
  <si>
    <t>M0128</t>
  </si>
  <si>
    <t>OCZ</t>
  </si>
  <si>
    <t>M0129</t>
  </si>
  <si>
    <t>PPR</t>
  </si>
  <si>
    <t>K&amp;I</t>
  </si>
  <si>
    <t>Gepost tijdens kabinet th8-I</t>
  </si>
  <si>
    <t>M0130</t>
  </si>
  <si>
    <t>Gepost tussen M0125 en M0126 | ontslag ingediend tijdens stemming</t>
  </si>
  <si>
    <t>Kabinet-th8</t>
  </si>
  <si>
    <t>M0131</t>
  </si>
  <si>
    <t>Ingediend voor het afronden van de formatie</t>
  </si>
  <si>
    <t>M0132</t>
  </si>
  <si>
    <t>M0133</t>
  </si>
  <si>
    <t>BZD</t>
  </si>
  <si>
    <t>M0134</t>
  </si>
  <si>
    <t>M0135</t>
  </si>
  <si>
    <t>M0136</t>
  </si>
  <si>
    <t>M0137</t>
  </si>
  <si>
    <t>M0138</t>
  </si>
  <si>
    <t>M0139</t>
  </si>
  <si>
    <t>M0140</t>
  </si>
  <si>
    <t>M0141</t>
  </si>
  <si>
    <t>M0142</t>
  </si>
  <si>
    <t>M0143</t>
  </si>
  <si>
    <t>M0144</t>
  </si>
  <si>
    <t>M0145</t>
  </si>
  <si>
    <t>M0146</t>
  </si>
  <si>
    <t>M0147</t>
  </si>
  <si>
    <t>M0148</t>
  </si>
  <si>
    <t>Rik079</t>
  </si>
  <si>
    <t>Kabinet-House_of_Farts-II</t>
  </si>
  <si>
    <t>M0149</t>
  </si>
  <si>
    <t>M0150</t>
  </si>
  <si>
    <t>Motie tot geven van Nederlanderschap aan Chun Sheng Yan</t>
  </si>
  <si>
    <t>M0151</t>
  </si>
  <si>
    <t>Motie tot oplossen liquiditeitsprobleem ten gevolge van de coronacrisis</t>
  </si>
  <si>
    <t>Ingediend voor de discussie begon omtrent het canoniseren van het coronavirus</t>
  </si>
  <si>
    <t>M0152</t>
  </si>
  <si>
    <t>Motie tot regeling overheidszaken via whatsappje.</t>
  </si>
  <si>
    <t>M0153</t>
  </si>
  <si>
    <t>Motie tot regeling overheidszaken via papier</t>
  </si>
  <si>
    <t>M0154</t>
  </si>
  <si>
    <t>Motie tot regeling overheidszaken via email</t>
  </si>
  <si>
    <t>M0155</t>
  </si>
  <si>
    <t>Motie tot hernoeming Flevoland of Lelystad</t>
  </si>
  <si>
    <t>M0156</t>
  </si>
  <si>
    <t>Motie tot jaarlijkse cursus</t>
  </si>
  <si>
    <t>M0157</t>
  </si>
  <si>
    <t>Motie tot spelende kinderen blij maken</t>
  </si>
  <si>
    <t>M0158</t>
  </si>
  <si>
    <t>Motie tot versoepelen rijwetgeving beroepschauffeurs</t>
  </si>
  <si>
    <t>M0159</t>
  </si>
  <si>
    <t>Motie tot uitleg politieke stromingen in het onderwijs</t>
  </si>
  <si>
    <t>M0160</t>
  </si>
  <si>
    <t>Motie tot erkenning van Taiwan als onafhankelijke staat</t>
  </si>
  <si>
    <t>M0161</t>
  </si>
  <si>
    <t>Motie tot verhoging salaris militairen</t>
  </si>
  <si>
    <t>M0162</t>
  </si>
  <si>
    <t>Motie tot actief uitzetbeleid illegalen</t>
  </si>
  <si>
    <t>M0163</t>
  </si>
  <si>
    <t>Motie van Afkeuring jegens de voorzitter</t>
  </si>
  <si>
    <t>M0164</t>
  </si>
  <si>
    <t>Motie tot meer aandacht voor de Nederlandse cultuur en tradities op scholen</t>
  </si>
  <si>
    <t>M0165</t>
  </si>
  <si>
    <t>Motie tot het goedkoper maken van vaccinaties buiten het Rijksvaccinatieprogramma</t>
  </si>
  <si>
    <t>M0166</t>
  </si>
  <si>
    <t>Motie tot verhoging Defensie budget</t>
  </si>
  <si>
    <t>M0167</t>
  </si>
  <si>
    <t>Koopabro</t>
  </si>
  <si>
    <t>Motie tot verbieden participatieverklaring</t>
  </si>
  <si>
    <t>M0168</t>
  </si>
  <si>
    <t>Zoeken van draagvlak voor de participatie van Taiwan in internationale organisaties</t>
  </si>
  <si>
    <t>M0169</t>
  </si>
  <si>
    <t>Motie tot aanschaf betere wapens voor het leger</t>
  </si>
  <si>
    <t>M0170</t>
  </si>
  <si>
    <t>M0171</t>
  </si>
  <si>
    <t>M0172</t>
  </si>
  <si>
    <t>M0173</t>
  </si>
  <si>
    <t>M0174</t>
  </si>
  <si>
    <t>M0175</t>
  </si>
  <si>
    <t>M0176</t>
  </si>
  <si>
    <t>M0177</t>
  </si>
  <si>
    <t>Motie tot afschaffen van de afvalstoffenheffing</t>
  </si>
  <si>
    <t>M0178</t>
  </si>
  <si>
    <t>Motie tot herbouwen van de voetbalkantine van VVV Oldeholtpade</t>
  </si>
  <si>
    <t>M0179</t>
  </si>
  <si>
    <t>Motie tot bevestiging steun voor moties</t>
  </si>
  <si>
    <t>M0180</t>
  </si>
  <si>
    <t>Motie tot het gratis maken van lidmaatschappen van sportverenigingen voor minderjarigen</t>
  </si>
  <si>
    <t>M0181</t>
  </si>
  <si>
    <t>Motie tot erkenning van de genocide op Afrikaanse volkeren</t>
  </si>
  <si>
    <t>M0182</t>
  </si>
  <si>
    <t>Motie van wantrouwen jegens de minister van Binnenlandse Zaken, Koninkrijksrelaties en Justitie</t>
  </si>
  <si>
    <t>M0183</t>
  </si>
  <si>
    <t>Motie tot kwaliteit bij staatsrechtelijke moties naar aanleiding van recentelijk gebruik</t>
  </si>
  <si>
    <t>M0184</t>
  </si>
  <si>
    <t>Motie tot behoud luchtalarm</t>
  </si>
  <si>
    <t>M0185</t>
  </si>
  <si>
    <t>Motie tot onderzoek naar de banden tussen het FBL en Iran</t>
  </si>
  <si>
    <t>M0186</t>
  </si>
  <si>
    <t>Motie om de hongerwinter als genocide te erkennen</t>
  </si>
  <si>
    <t>M0187</t>
  </si>
  <si>
    <t>Motie tot onderzoek naar drugshandel op scholen</t>
  </si>
  <si>
    <t>M0188</t>
  </si>
  <si>
    <t>Motie tot opkopen emissierechten</t>
  </si>
  <si>
    <t>M0189</t>
  </si>
  <si>
    <t>Motie tot limiteren topsalarissen</t>
  </si>
  <si>
    <t>M0190</t>
  </si>
  <si>
    <t>Motie tot decriminaliseren drugs</t>
  </si>
  <si>
    <t>M0191</t>
  </si>
  <si>
    <t>Motie tot erkenning Bengaalse genocide</t>
  </si>
  <si>
    <t>M0192</t>
  </si>
  <si>
    <t>Motie tot aanpassing van het vuurwerkbesluit</t>
  </si>
  <si>
    <t>M0193</t>
  </si>
  <si>
    <t>Motie tot verplichten van datacenters te investeren in groene zodoende het stroomnet slechts minimaal te belasten</t>
  </si>
  <si>
    <t>M0194</t>
  </si>
  <si>
    <t>Motie tot uitgebreide bestrijding Kislofel-virus</t>
  </si>
  <si>
    <t>FEZ,VSZ,KNI</t>
  </si>
  <si>
    <t>M0195</t>
  </si>
  <si>
    <t>Motie tot een verbod op 'homogenezing'</t>
  </si>
  <si>
    <t>M0196</t>
  </si>
  <si>
    <t>Motie voor het beperken van klimaatschade veroorzaakt door online advertising</t>
  </si>
  <si>
    <t>M0197</t>
  </si>
  <si>
    <t>Motie tot raadgevend referendum aangaande Friese onafhankelijkheid</t>
  </si>
  <si>
    <t>M0198</t>
  </si>
  <si>
    <t>Motie tot creëren zelfbewoningsplicht</t>
  </si>
  <si>
    <t>M0199</t>
  </si>
  <si>
    <t>Motie aangaande het verzoek van de Griekse regering om 2500 minderjarige asielzoekers te herplaatsen</t>
  </si>
  <si>
    <t>M0200</t>
  </si>
  <si>
    <t>Motie tot opschorting export van plastic afval buiten de Europese Unie</t>
  </si>
  <si>
    <t>M0201</t>
  </si>
  <si>
    <t>Motie tot een verkoopverbod op wegwerpbatterijen</t>
  </si>
  <si>
    <t>M0202</t>
  </si>
  <si>
    <t>Motie tot intensivering aanleg hogesnelheidslijnen</t>
  </si>
  <si>
    <t>M0203</t>
  </si>
  <si>
    <t>Motie tot weghalen van de discretionaire bevoegdheid bij de Minister/Staatssecretaris van Asielzaken</t>
  </si>
  <si>
    <t>M0204</t>
  </si>
  <si>
    <t>Motie tot het onthouden van wapenembargo’s naar bondgenoten in het buitenlandse veiligheidsbeleid</t>
  </si>
  <si>
    <t>M0205</t>
  </si>
  <si>
    <t>Motie tot het ondernemen van actie om de mensenrechten te beschermen</t>
  </si>
  <si>
    <t>M0206</t>
  </si>
  <si>
    <t>Motie voor het beperken van klimaatschade veroorzaakt door online- en offline advertising</t>
  </si>
  <si>
    <t>M0207</t>
  </si>
  <si>
    <t>Motie tot nauwere samenwerking met niet-NAVO bondgenoten in Azië en Oceanië</t>
  </si>
  <si>
    <t>M0208</t>
  </si>
  <si>
    <t>Motie tot het oprichten van een Concert of Democracies</t>
  </si>
  <si>
    <t>M0209</t>
  </si>
  <si>
    <t>Motie tot het tegengaan van de aantasting van Hongkongs soevereiniteit</t>
  </si>
  <si>
    <t>M0210</t>
  </si>
  <si>
    <t>Motie tot nauwere militaire samenwerking met Oekraïne</t>
  </si>
  <si>
    <t>M0211</t>
  </si>
  <si>
    <t>Motie tot maatregelen tegen de Chinese agressie</t>
  </si>
  <si>
    <t>M0212</t>
  </si>
  <si>
    <t>Motie tot terugdraaiing Wet passend onderwijs</t>
  </si>
  <si>
    <t>M0213</t>
  </si>
  <si>
    <t>Onafh.</t>
  </si>
  <si>
    <t>Voorwaardelijke motie van wantrouwen jegens het presidium</t>
  </si>
  <si>
    <t>M0214</t>
  </si>
  <si>
    <t>Motie tot onmiddelijke verhoging weerbaarheid LHBTI-ers</t>
  </si>
  <si>
    <t>M0215</t>
  </si>
  <si>
    <t>Lijst L</t>
  </si>
  <si>
    <t>LanderAntwerp</t>
  </si>
  <si>
    <t>Motie tot hogere uitkeringen voor sociaal zwakkeren</t>
  </si>
  <si>
    <t>M0216</t>
  </si>
  <si>
    <t>M0217</t>
  </si>
  <si>
    <t>M0218</t>
  </si>
  <si>
    <t>Motie tot het aanemen van een "Magnitsky wet"</t>
  </si>
  <si>
    <t>M0219</t>
  </si>
  <si>
    <t>Motie tot invoering van praktijktesten op de woningmarkt</t>
  </si>
  <si>
    <t>M0220</t>
  </si>
  <si>
    <t>Motie tot het tegenhouden van Nord Stream 2</t>
  </si>
  <si>
    <t>KNI, BZD</t>
  </si>
  <si>
    <t>M0221</t>
  </si>
  <si>
    <t>Motie tot steun Fredich Frij Fryslân</t>
  </si>
  <si>
    <t>M0222</t>
  </si>
  <si>
    <t>Motie tot beschermen binnenlandse staal productie</t>
  </si>
  <si>
    <t>M0223</t>
  </si>
  <si>
    <t>Motie tot invoeren anoniem solliciteren in de publieke sector</t>
  </si>
  <si>
    <t>M0224</t>
  </si>
  <si>
    <t>Motie tot het tolvrij maken van de Westerscheldetunnel</t>
  </si>
  <si>
    <t>M0225</t>
  </si>
  <si>
    <t>Motie tot excuses inzake het slavernijverleden</t>
  </si>
  <si>
    <t>M0226</t>
  </si>
  <si>
    <t>ruben_politiek10</t>
  </si>
  <si>
    <t>Motie die aanzet tot de verlaging van de leeftijd om burgerinitiatieven te mogen onderteken naar 16 jaar oud</t>
  </si>
  <si>
    <t>M0227</t>
  </si>
  <si>
    <t>Motie tot verplichting van het weergeven van prijzen in guldens</t>
  </si>
  <si>
    <t>M0228</t>
  </si>
  <si>
    <t>Motie tot het aannemen van een "Tegeltaks"</t>
  </si>
  <si>
    <t>M0229</t>
  </si>
  <si>
    <t>Motie van wantrouwen tegen kabinet House_Of_Farts II</t>
  </si>
  <si>
    <t>Kabinet-House_of_Farts-III</t>
  </si>
  <si>
    <t>M0230</t>
  </si>
  <si>
    <t>Motie tot aanschaffing van 10 traxx locomotieven</t>
  </si>
  <si>
    <t>M0231</t>
  </si>
  <si>
    <t>Motie tot het jaar 2023 een herdenkingsjaar maken</t>
  </si>
  <si>
    <t>M0232</t>
  </si>
  <si>
    <t>Motie tot verbod op plastic tasjes</t>
  </si>
  <si>
    <t>M0233</t>
  </si>
  <si>
    <t>Motie tot internationaal overleg over de situatie in wit rusland</t>
  </si>
  <si>
    <t>M0234</t>
  </si>
  <si>
    <t>Motie rondtrend de huidige situatie in Mali</t>
  </si>
  <si>
    <t>M0235</t>
  </si>
  <si>
    <t>Motie tot aanpak van online racisme</t>
  </si>
  <si>
    <t>In afwachting</t>
  </si>
  <si>
    <t>M0236</t>
  </si>
  <si>
    <t>Motie tot het verlagen van het budget van het koningshuis</t>
  </si>
  <si>
    <t>M0237</t>
  </si>
  <si>
    <t>Motie die uitspreekt dat de wereld in een klimaat en biodiversiteitscrisis verkeert</t>
  </si>
  <si>
    <t>RMTK Wetten (W) en Amendementen (A)</t>
  </si>
  <si>
    <t>Amendementen</t>
  </si>
  <si>
    <t>Ministeriele
verantwoording</t>
  </si>
  <si>
    <t>Nr.</t>
  </si>
  <si>
    <t>TK
Uitslag</t>
  </si>
  <si>
    <t>EK</t>
  </si>
  <si>
    <t>W0001</t>
  </si>
  <si>
    <t>W0002</t>
  </si>
  <si>
    <t>Regering</t>
  </si>
  <si>
    <t>Splcy_meme</t>
  </si>
  <si>
    <t>W0003</t>
  </si>
  <si>
    <t>Aangen.</t>
  </si>
  <si>
    <t>W0004</t>
  </si>
  <si>
    <t>W0005</t>
  </si>
  <si>
    <t>Afgew.</t>
  </si>
  <si>
    <t>Stond aangeduid als W0004 ipv W0005</t>
  </si>
  <si>
    <t>W0006</t>
  </si>
  <si>
    <t>W0007</t>
  </si>
  <si>
    <t>W0008</t>
  </si>
  <si>
    <t>VWV</t>
  </si>
  <si>
    <t>W0009</t>
  </si>
  <si>
    <t>W0010</t>
  </si>
  <si>
    <t>W0011</t>
  </si>
  <si>
    <t>W0012</t>
  </si>
  <si>
    <t>stond aangeduid als ingediend door regering IPV ingediend door STR</t>
  </si>
  <si>
    <t>W0013</t>
  </si>
  <si>
    <t>W0014</t>
  </si>
  <si>
    <t>W0015</t>
  </si>
  <si>
    <t>W0016</t>
  </si>
  <si>
    <t>W0017</t>
  </si>
  <si>
    <t>Stond niet aangeduid als W0017</t>
  </si>
  <si>
    <t>W0018</t>
  </si>
  <si>
    <t>W0019</t>
  </si>
  <si>
    <t>J&amp;D</t>
  </si>
  <si>
    <t>W0020</t>
  </si>
  <si>
    <t>W0021</t>
  </si>
  <si>
    <t>W0022</t>
  </si>
  <si>
    <t>W0023</t>
  </si>
  <si>
    <t>W0024</t>
  </si>
  <si>
    <t>W0025</t>
  </si>
  <si>
    <t>W0026</t>
  </si>
  <si>
    <t>W0027</t>
  </si>
  <si>
    <t>W0028</t>
  </si>
  <si>
    <t>W0029</t>
  </si>
  <si>
    <t>W0030</t>
  </si>
  <si>
    <t>W0031</t>
  </si>
  <si>
    <t>W0032</t>
  </si>
  <si>
    <t>W0033</t>
  </si>
  <si>
    <t>W0034</t>
  </si>
  <si>
    <t>Der_Kohl c.s.</t>
  </si>
  <si>
    <t>W0035</t>
  </si>
  <si>
    <t>W0036</t>
  </si>
  <si>
    <t>Keijeman c.s.</t>
  </si>
  <si>
    <t>W0037</t>
  </si>
  <si>
    <t>W0038</t>
  </si>
  <si>
    <t>W0039</t>
  </si>
  <si>
    <t>MerijnZ1 c.s.</t>
  </si>
  <si>
    <t>W0040</t>
  </si>
  <si>
    <t>123ricardo210 c.s.</t>
  </si>
  <si>
    <t>W0041</t>
  </si>
  <si>
    <t>W0042</t>
  </si>
  <si>
    <t>W0043</t>
  </si>
  <si>
    <t>Kabinet-House_of_Farts I</t>
  </si>
  <si>
    <t>W0044</t>
  </si>
  <si>
    <t>W0045</t>
  </si>
  <si>
    <t>T&amp;I</t>
  </si>
  <si>
    <t>W0046</t>
  </si>
  <si>
    <t>W0047</t>
  </si>
  <si>
    <t>W0048</t>
  </si>
  <si>
    <t>W0049</t>
  </si>
  <si>
    <t>W0050</t>
  </si>
  <si>
    <t>Sushishine c.s.</t>
  </si>
  <si>
    <t>W0051</t>
  </si>
  <si>
    <t>W0052</t>
  </si>
  <si>
    <t>W0053</t>
  </si>
  <si>
    <t>W0054</t>
  </si>
  <si>
    <t>W0055</t>
  </si>
  <si>
    <t>W0056</t>
  </si>
  <si>
    <t>W0057</t>
  </si>
  <si>
    <t>W0058</t>
  </si>
  <si>
    <t>W0059</t>
  </si>
  <si>
    <t>W0060</t>
  </si>
  <si>
    <t>W0061</t>
  </si>
  <si>
    <t>W0062</t>
  </si>
  <si>
    <t>W0063</t>
  </si>
  <si>
    <t>W0064</t>
  </si>
  <si>
    <t>W0065</t>
  </si>
  <si>
    <t>W0066</t>
  </si>
  <si>
    <t>W0067</t>
  </si>
  <si>
    <t>W0068</t>
  </si>
  <si>
    <t>W0069</t>
  </si>
  <si>
    <t>W0070</t>
  </si>
  <si>
    <t>W0071</t>
  </si>
  <si>
    <t>dagelijksestijl</t>
  </si>
  <si>
    <t>W0072</t>
  </si>
  <si>
    <t>W0073</t>
  </si>
  <si>
    <t>W0074</t>
  </si>
  <si>
    <t>Kabinet-House_of_Farts II</t>
  </si>
  <si>
    <t>W0075</t>
  </si>
  <si>
    <t>Vaststelling van de begrotingsstaat van het Deltafonds voor het jaar 2020</t>
  </si>
  <si>
    <t>W0076</t>
  </si>
  <si>
    <t>Vaststelling van de begrotingsstaat van het gemeentefonds (B) voor het jaar 2020</t>
  </si>
  <si>
    <t>W0077</t>
  </si>
  <si>
    <t>Wet tot moratorium gezichtsherkennende software voor bepaalde doeleinden</t>
  </si>
  <si>
    <t>W0078</t>
  </si>
  <si>
    <t>Intrekkingswet wet op de identificatieplicht</t>
  </si>
  <si>
    <t>W0079</t>
  </si>
  <si>
    <t>Wet om de accijns op tabak houdende producten te verhogen, om zo een afschrikkende werking te creëren bij de koop van tabak</t>
  </si>
  <si>
    <t>W0080</t>
  </si>
  <si>
    <t>Wetswijziging ter afschaffing erfbelasting</t>
  </si>
  <si>
    <t>W0081</t>
  </si>
  <si>
    <t>Wet op wijziging middelbaar onderwijs tot algemene lessen Fries.</t>
  </si>
  <si>
    <t>W0082</t>
  </si>
  <si>
    <t>W0083</t>
  </si>
  <si>
    <t>Wetswijziging ter afschaffing automatisch verlies Nederlanderschap</t>
  </si>
  <si>
    <t>W0084</t>
  </si>
  <si>
    <t>Vlootwet 2020</t>
  </si>
  <si>
    <t>W0085</t>
  </si>
  <si>
    <t>W0086</t>
  </si>
  <si>
    <t>Wet ter verlenging van de levensduur van elektrische en elektronische apparatuur</t>
  </si>
  <si>
    <t>W0087</t>
  </si>
  <si>
    <t>W0088</t>
  </si>
  <si>
    <t>Wetswijziging tot inkorting &amp; aanpassing Acteursrecht</t>
  </si>
  <si>
    <t>W0089</t>
  </si>
  <si>
    <t>Wetswijziging tot correctie van de huurtoeslagleeftijdsgrens</t>
  </si>
  <si>
    <t>W0090</t>
  </si>
  <si>
    <t>Wet op aanvullende eisen ICT-projecten overheidsdiensten</t>
  </si>
  <si>
    <t>W0091</t>
  </si>
  <si>
    <t>Wet tot afschaffing legitieme portie in het Erfrecht</t>
  </si>
  <si>
    <t>W0092</t>
  </si>
  <si>
    <t>hans-wiegel</t>
  </si>
  <si>
    <t>Wetswijziging van het Wetboek van Strafrecht teneinde het strafbaar stellen van het bezitten van een pedohandboek</t>
  </si>
  <si>
    <t>W0093</t>
  </si>
  <si>
    <t>Intrekkingswet Wet op de vaste boekenprijs</t>
  </si>
  <si>
    <t>W0094</t>
  </si>
  <si>
    <t>Wet voor afschaffing dwangsomregeling ter voorkoming van misbruik door asielzoekers</t>
  </si>
  <si>
    <t>W0095</t>
  </si>
  <si>
    <t>Wet tot invoering planbatenbelasting</t>
  </si>
  <si>
    <t>W0096</t>
  </si>
  <si>
    <t>Wet meerdere mogelijkheden voorzitterschap commissies</t>
  </si>
  <si>
    <t>W0097</t>
  </si>
  <si>
    <t>Wet tot invoering dagboetes</t>
  </si>
  <si>
    <t>A-1</t>
  </si>
  <si>
    <t>afgew.</t>
  </si>
  <si>
    <t>W0098</t>
  </si>
  <si>
    <t>Wet bescherming culturele evenementen</t>
  </si>
  <si>
    <t>W0099</t>
  </si>
  <si>
    <t>Wetswijziging Mediawet</t>
  </si>
  <si>
    <t>W0100-S</t>
  </si>
  <si>
    <t>Spoedwet ter wijziging van de begrotingsstaat van het Ministerie van Financiën en Economische Zaken voor begrotingsjaar V</t>
  </si>
  <si>
    <t>W0101</t>
  </si>
  <si>
    <t>Wetsvoorstel tot oprichting Mata Hari fonds voor Friese zaken</t>
  </si>
  <si>
    <t>W0102</t>
  </si>
  <si>
    <t>Wet Openbreken van de Telecommunicatiemarkt</t>
  </si>
  <si>
    <t>W0103</t>
  </si>
  <si>
    <t>Goedkeuringswet Europees verdrag omtrent het opschorten van de wapenhandel aan een aantal landen</t>
  </si>
  <si>
    <t>W0104</t>
  </si>
  <si>
    <t>Implementatiewet Europese afspraken omtrent het opschorten van de wapenhandel met een aantal landen</t>
  </si>
  <si>
    <t>ingetrokken zodat eerst de goedkeuringswet behandeld kon worden</t>
  </si>
  <si>
    <t>W0105</t>
  </si>
  <si>
    <t>Wetswijziging Waadi 2020</t>
  </si>
  <si>
    <t>W0106</t>
  </si>
  <si>
    <t>Wet afschaffing rekentoets VO</t>
  </si>
  <si>
    <t>W0107</t>
  </si>
  <si>
    <t>Wet bestuurlijk verbieden ondermijnende organisaties</t>
  </si>
  <si>
    <t>W0108</t>
  </si>
  <si>
    <t>Wet verbeteren huurbescherming voor huurders van ligplaatsen</t>
  </si>
  <si>
    <t>W0109</t>
  </si>
  <si>
    <t>Wijzinging van het Wetboek van Strafrecht BES teneinde afschaffing verzwaarde strafbaarstelling belediging van een ambtenaar in functie</t>
  </si>
  <si>
    <t>W0110</t>
  </si>
  <si>
    <t>Wet tot oprichting nieuwe kernreactor</t>
  </si>
  <si>
    <t>W0111</t>
  </si>
  <si>
    <t>Wet administratieve detentie</t>
  </si>
  <si>
    <t>W0112</t>
  </si>
  <si>
    <t>Wetswijziging Wet van Strafrecht teneinde het afschaffen van majesteitsschennis</t>
  </si>
  <si>
    <t>W0113</t>
  </si>
  <si>
    <t>Wet afschaffing hypotheekrenteaftrek en enkele andere wijzigingen van de inkomstenbelasting</t>
  </si>
  <si>
    <t>W0114</t>
  </si>
  <si>
    <t>Grondwetswijziging ter afschaffing van de dienstplicht</t>
  </si>
  <si>
    <t>W0115</t>
  </si>
  <si>
    <t>Wet ter bevordering streektalen en -culturen</t>
  </si>
  <si>
    <t>W0116</t>
  </si>
  <si>
    <t>Implementatiewet Europees verdrag omtrent het opschorten van de wapenhandel met een aantal landen</t>
  </si>
  <si>
    <t>W0117</t>
  </si>
  <si>
    <t>Wet tot uitbreiding van de bevoegdheid van de minister om de economie te beschermen</t>
  </si>
  <si>
    <t>W0118</t>
  </si>
  <si>
    <t>Wet ter verbetering leefomgeving weidevogels</t>
  </si>
  <si>
    <t>W0119</t>
  </si>
  <si>
    <t>Wetswijziging Wet maatregelen woningmarkt 2014 II</t>
  </si>
  <si>
    <t>W0120</t>
  </si>
  <si>
    <t>Wetswijziging tot inperking dierenleed bij transport</t>
  </si>
  <si>
    <t>W0121</t>
  </si>
  <si>
    <t>De wet tot uitbreiding consumentenbescherming op het gebied van het internet der dingen</t>
  </si>
  <si>
    <t>W0122</t>
  </si>
  <si>
    <t>Wetswijziging van de Wet normering topinkomens ten behoeve het beperken van de salarissen voor werknemers van de Nederlandse Publieke Omroep</t>
  </si>
  <si>
    <t>W0123</t>
  </si>
  <si>
    <t>Wet verbod homogenezing</t>
  </si>
  <si>
    <t>W0124</t>
  </si>
  <si>
    <t>Belastingplan 2020</t>
  </si>
  <si>
    <t>Kabinet-House_of_Farts III</t>
  </si>
  <si>
    <t>W0125</t>
  </si>
  <si>
    <t>Wetswijziging ter verhoging weerbaarheid seksuele- en genderminderheden</t>
  </si>
  <si>
    <t>W0126</t>
  </si>
  <si>
    <t>Wetswijziging tot het efficiënter delen van informatie in de Jeugdzorg</t>
  </si>
  <si>
    <t>W0127</t>
  </si>
  <si>
    <t>Wijziging van de Wet inburgering teneinde het afschaffen van het participatieverklaringstraject als onderdeel van het inburgeringsexamen</t>
  </si>
  <si>
    <t>Namens regering House_of_Farts-II</t>
  </si>
  <si>
    <t>W0128</t>
  </si>
  <si>
    <t>Wetswijziging om kraken gelijk te stellen aan diefstal</t>
  </si>
  <si>
    <t>W0129</t>
  </si>
  <si>
    <t>Wet ter afschaffing regionale inlichtingendienst van de politie en de rijksbelastingdienst</t>
  </si>
  <si>
    <t>A-2</t>
  </si>
  <si>
    <t>W0130</t>
  </si>
  <si>
    <t>Grondwetswijziging tot invoering NAP</t>
  </si>
  <si>
    <t>W0131</t>
  </si>
  <si>
    <t>rik079</t>
  </si>
  <si>
    <t>Wetswijziging tot vaststelling toetsingstermijn hackbevoegdheid</t>
  </si>
  <si>
    <t>W0132</t>
  </si>
  <si>
    <t>Wet ramp triage</t>
  </si>
  <si>
    <t>W0133</t>
  </si>
  <si>
    <t>Wet ter afschaffing wettelijke grond inzet burgerinformanten en infiltranten</t>
  </si>
  <si>
    <t>W0134</t>
  </si>
  <si>
    <t>Wet tot collectivisering Tatasteel</t>
  </si>
  <si>
    <t>W0135</t>
  </si>
  <si>
    <t>Wet tot wijziging van de Wet op het financieel toezicht houdende regels met betrekking tot het beloningsbeleid van financiële ondernemingen</t>
  </si>
  <si>
    <t>W0136</t>
  </si>
  <si>
    <t>Wetswijziging BTW-wet voor btw-vrij vega-vlees</t>
  </si>
  <si>
    <t>W0137</t>
  </si>
  <si>
    <t>Reglementswijziging ter verlagen leeftijdsvereiste burgerinitiatief naar zestien jaar</t>
  </si>
  <si>
    <t>W0138</t>
  </si>
  <si>
    <t>Wet ter inkorting wettelijke werkweek</t>
  </si>
  <si>
    <t>W0139</t>
  </si>
  <si>
    <t>Wet implementatie tweede EU-richtlijn antibelastingontwijking</t>
  </si>
  <si>
    <t>W0140</t>
  </si>
  <si>
    <t>Wet ter wijziging van de begrotingsstaat van het Ministerie van Financiën en Economische Zaken voor begrotingsjaar VI</t>
  </si>
  <si>
    <t>RMTK  Kamerstukken (KS)</t>
  </si>
  <si>
    <t>Kabinet:</t>
  </si>
  <si>
    <t>KS0001</t>
  </si>
  <si>
    <t>KS0002</t>
  </si>
  <si>
    <t>KS0003</t>
  </si>
  <si>
    <t>KS0004</t>
  </si>
  <si>
    <t>KS0005</t>
  </si>
  <si>
    <t>BuZa / BZKD</t>
  </si>
  <si>
    <t>KS0006</t>
  </si>
  <si>
    <t>Stond aangeduid als KS0007 IPV KS0006</t>
  </si>
  <si>
    <t>KS0007</t>
  </si>
  <si>
    <t>KS0008</t>
  </si>
  <si>
    <t>KS0009</t>
  </si>
  <si>
    <t>KS0010</t>
  </si>
  <si>
    <t>KS0011</t>
  </si>
  <si>
    <t>Stond aangeduid als KB0011 IPV KS0011</t>
  </si>
  <si>
    <t>KS0012</t>
  </si>
  <si>
    <t>KS0013</t>
  </si>
  <si>
    <t>KS0014</t>
  </si>
  <si>
    <t>KS0015</t>
  </si>
  <si>
    <t>KS0016</t>
  </si>
  <si>
    <t>PO</t>
  </si>
  <si>
    <t>KS0017</t>
  </si>
  <si>
    <t>KS0018</t>
  </si>
  <si>
    <t>KS0019</t>
  </si>
  <si>
    <t>KS0020</t>
  </si>
  <si>
    <t>KS0021</t>
  </si>
  <si>
    <t>KS0022</t>
  </si>
  <si>
    <t>KS0023</t>
  </si>
  <si>
    <t>KS0024</t>
  </si>
  <si>
    <t>KS0025</t>
  </si>
  <si>
    <t>KS0026</t>
  </si>
  <si>
    <t>KS0027</t>
  </si>
  <si>
    <t>KS0028</t>
  </si>
  <si>
    <t>KS0029</t>
  </si>
  <si>
    <t>KS0030</t>
  </si>
  <si>
    <t>KS0031</t>
  </si>
  <si>
    <t>KS0032</t>
  </si>
  <si>
    <t>KS0033</t>
  </si>
  <si>
    <r>
      <rPr>
        <color rgb="FFFFFFFF"/>
      </rPr>
      <t>*</t>
    </r>
    <r>
      <t>KS0034*</t>
    </r>
  </si>
  <si>
    <t>KS0035</t>
  </si>
  <si>
    <t>KS0036</t>
  </si>
  <si>
    <t>KS0037</t>
  </si>
  <si>
    <t>KS0038a</t>
  </si>
  <si>
    <t>KS0038b</t>
  </si>
  <si>
    <t>KS0039</t>
  </si>
  <si>
    <t>KS0040</t>
  </si>
  <si>
    <t>KS0041</t>
  </si>
  <si>
    <t>KS0042</t>
  </si>
  <si>
    <t>KS0043</t>
  </si>
  <si>
    <t>sushishine</t>
  </si>
  <si>
    <t>KS0044</t>
  </si>
  <si>
    <r>
      <rPr>
        <color rgb="FFFFFFFF"/>
      </rPr>
      <t>*</t>
    </r>
    <r>
      <t>KS0045*</t>
    </r>
  </si>
  <si>
    <t>KS0046</t>
  </si>
  <si>
    <t>KS0047</t>
  </si>
  <si>
    <t>KS0048</t>
  </si>
  <si>
    <t>KS0049</t>
  </si>
  <si>
    <t>KS0050</t>
  </si>
  <si>
    <r>
      <rPr>
        <color rgb="FFFFFFFF"/>
      </rPr>
      <t>*</t>
    </r>
    <r>
      <t>KS0051*</t>
    </r>
  </si>
  <si>
    <t>KS0052</t>
  </si>
  <si>
    <t>KS0053</t>
  </si>
  <si>
    <t>Kamerbrief naar aanleiding van motie 0053, sluiting Vreewijk lyceum</t>
  </si>
  <si>
    <t>KS0054</t>
  </si>
  <si>
    <t>Kamerbrief aangaande uitvoering van diverse moties rondom de NPO</t>
  </si>
  <si>
    <t>KS0055</t>
  </si>
  <si>
    <t>Kamerbrief aangaande de gesloten overeenkomst met Duitsland en Zweden over het stoppen van wapenhandel met landen die mensenrechten schenden</t>
  </si>
  <si>
    <t>KS0056</t>
  </si>
  <si>
    <t>Kamerbrief aangaande aangenomen motie betreffende kantine VVV Oldeholtpade</t>
  </si>
  <si>
    <t>KS0057</t>
  </si>
  <si>
    <t>Kamerbrief aangaande het Kislofel-weringsplan</t>
  </si>
  <si>
    <t>KS0058</t>
  </si>
  <si>
    <t>Kamerbrief aangaande peilingen onder weggebruikers</t>
  </si>
  <si>
    <r>
      <rPr>
        <color rgb="FFFFFFFF"/>
      </rPr>
      <t>*</t>
    </r>
    <r>
      <t>KS0059*</t>
    </r>
  </si>
  <si>
    <t>Nota aangaande Verantwoordingsdag begrotingsjaar 4</t>
  </si>
  <si>
    <t>KS0060</t>
  </si>
  <si>
    <t>Kamerbrief aangaande infomatie besluit budgettaire bepaling Stimuleringsfonds tegengaan segregatie in het Onderwijs</t>
  </si>
  <si>
    <t>KS0061</t>
  </si>
  <si>
    <t>Kamerbrief aangaande beëindiging van de Conventie inzake aanwezigheid van buitenlandse strijdkrachten in de Bondsrepubliek Duitsland</t>
  </si>
  <si>
    <t>KS0062</t>
  </si>
  <si>
    <t>Brief tot behoud luchtalarm</t>
  </si>
  <si>
    <t>KS0063</t>
  </si>
  <si>
    <t>Kamerbrief aangaande aangenomen moties tijdens het kabinet-House_of_Farts II</t>
  </si>
  <si>
    <t>KS0064</t>
  </si>
  <si>
    <t>Kamerbrief ter informatie over de ontwikkelingen met betrekking tot de internationale top in Den Haag</t>
  </si>
  <si>
    <t>KS0065</t>
  </si>
  <si>
    <t>Kamerbrief aangaande gevolgen voor Nederlandse militaire aangelegenheden in Duitsland</t>
  </si>
  <si>
    <t>KS0066</t>
  </si>
  <si>
    <t>Kamerbrief aangaande de Nationale Aanpak Jeugdcriminaliteit en Vandalisme</t>
  </si>
  <si>
    <t>KS0067</t>
  </si>
  <si>
    <t>Kamerbrief ter reactie op aangenomen moties (0223-0231)</t>
  </si>
  <si>
    <t>KS0068*</t>
  </si>
  <si>
    <t>Nota aangaande Verantwoordingsdag Begrotingsjaar V</t>
  </si>
  <si>
    <t>KS0069</t>
  </si>
  <si>
    <t>Kamerbrief aangaande de uitkomst van de internationale top in Den Haag</t>
  </si>
  <si>
    <t>KS0070</t>
  </si>
  <si>
    <t>Kamerbrief Wet normalisering rechtspositie ambtenaren (wnra)</t>
  </si>
  <si>
    <t>RMTK Koninklijke Besluiten (KB)</t>
  </si>
  <si>
    <t>KB's
Actief?</t>
  </si>
  <si>
    <t>KB0001</t>
  </si>
  <si>
    <t>KB0002</t>
  </si>
  <si>
    <t>KB0003</t>
  </si>
  <si>
    <t>KB0004</t>
  </si>
  <si>
    <t>KB0005</t>
  </si>
  <si>
    <t>KB0006</t>
  </si>
  <si>
    <t>KB0007</t>
  </si>
  <si>
    <t>KB0008</t>
  </si>
  <si>
    <t>KB0009</t>
  </si>
  <si>
    <t>KB0010</t>
  </si>
  <si>
    <t>KB0011</t>
  </si>
  <si>
    <t>van Hieke-I | Ingetrokken dmv KB0015</t>
  </si>
  <si>
    <t>KB0012</t>
  </si>
  <si>
    <t>KB0013</t>
  </si>
  <si>
    <t>KB0014</t>
  </si>
  <si>
    <t>KB0015</t>
  </si>
  <si>
    <t>Sushishine</t>
  </si>
  <si>
    <t>KB0016</t>
  </si>
  <si>
    <t>KB0017</t>
  </si>
  <si>
    <t>KB0018</t>
  </si>
  <si>
    <t>KB0019</t>
  </si>
  <si>
    <t>KB0020</t>
  </si>
  <si>
    <t>KB0021</t>
  </si>
  <si>
    <t>KB0022</t>
  </si>
  <si>
    <t>KB0023</t>
  </si>
  <si>
    <t>KB0024</t>
  </si>
  <si>
    <t>KB0025</t>
  </si>
  <si>
    <t>Koninklijk Besluit ter verlening Nederlanderschap aan Chun Sheng Yan</t>
  </si>
  <si>
    <t>KB0026</t>
  </si>
  <si>
    <t>Verlengingsbesluit tijdelijk Bureau ICT-toetsing</t>
  </si>
  <si>
    <t>KB0027</t>
  </si>
  <si>
    <t>KB0028</t>
  </si>
  <si>
    <t>Besluit ter wijziging van het Vuurwerkbesluit en de regeling aanwijzing consumenten- en theatervuurwerk teneinde het verplichten van veiligheidsbrillen, aansteeklont en instructies bij de verkoop van vuurwerk alsmede het inperken van de verkoop van vuurwerk</t>
  </si>
  <si>
    <t>KB0029</t>
  </si>
  <si>
    <t>Wijziging Regeling beheer verpakkingen 2020</t>
  </si>
  <si>
    <t>RMTK Debatten (DB), Kamervragen (KV) &amp; Nota's (N)</t>
  </si>
  <si>
    <t>Uitgevoerd/
Reactie
Minister?</t>
  </si>
  <si>
    <t>DB0001</t>
  </si>
  <si>
    <t>DB0002</t>
  </si>
  <si>
    <t>DB0003</t>
  </si>
  <si>
    <t>DB0004</t>
  </si>
  <si>
    <t>DB0005</t>
  </si>
  <si>
    <t>EKZW / Def</t>
  </si>
  <si>
    <t>DB0006</t>
  </si>
  <si>
    <t>AZ/BuZa/FEZ</t>
  </si>
  <si>
    <t>DB0007</t>
  </si>
  <si>
    <t>BZKD/I&amp;M/J&amp;V</t>
  </si>
  <si>
    <t>DB0008</t>
  </si>
  <si>
    <t>KV0001</t>
  </si>
  <si>
    <t>DB0009</t>
  </si>
  <si>
    <t>DB0010</t>
  </si>
  <si>
    <t>DB0011</t>
  </si>
  <si>
    <t>DB0012</t>
  </si>
  <si>
    <t>DB0013</t>
  </si>
  <si>
    <t>DB0014</t>
  </si>
  <si>
    <t>DB0015</t>
  </si>
  <si>
    <t>DB0016</t>
  </si>
  <si>
    <t>K&amp;N/V&amp;J</t>
  </si>
  <si>
    <t>DB0017</t>
  </si>
  <si>
    <t>DB0018</t>
  </si>
  <si>
    <t>DB0019</t>
  </si>
  <si>
    <t>DB0020</t>
  </si>
  <si>
    <t>DB0021</t>
  </si>
  <si>
    <t>V&amp;J/Fin/K&amp;N</t>
  </si>
  <si>
    <t>N0001</t>
  </si>
  <si>
    <t>DB0022</t>
  </si>
  <si>
    <t>DB0023</t>
  </si>
  <si>
    <t>DB0024</t>
  </si>
  <si>
    <t>DB0025</t>
  </si>
  <si>
    <t>DB0026</t>
  </si>
  <si>
    <t>DB0027</t>
  </si>
  <si>
    <t>DB0028</t>
  </si>
  <si>
    <t>DB0029</t>
  </si>
  <si>
    <t>DB0030</t>
  </si>
  <si>
    <t>DB0031</t>
  </si>
  <si>
    <t>N0002</t>
  </si>
  <si>
    <t>DB0032</t>
  </si>
  <si>
    <t>DB0033</t>
  </si>
  <si>
    <t>N0003</t>
  </si>
  <si>
    <t>KV0002</t>
  </si>
  <si>
    <t>Kamervragen over aanpak van terreurorganisatie FBL</t>
  </si>
  <si>
    <t>AZ/BZKJ</t>
  </si>
  <si>
    <t>N0004</t>
  </si>
  <si>
    <t>DB0034</t>
  </si>
  <si>
    <t>Debat omtrent institutioneel racisme en politiegeweld in de VS</t>
  </si>
  <si>
    <t>KV0003</t>
  </si>
  <si>
    <t>KV0004</t>
  </si>
  <si>
    <t>Kamervragen naar niet uitgevoerde moties</t>
  </si>
  <si>
    <t>KV0005</t>
  </si>
  <si>
    <t>Kamervragen aangaande zorgen over drillrap in Friesland</t>
  </si>
  <si>
    <t>KV0006</t>
  </si>
  <si>
    <t>Kamervragen over werkwijze Belastingdienst discriminerend en onrechtmatig</t>
  </si>
  <si>
    <t>DB0035</t>
  </si>
  <si>
    <t>Debat naar aanleiding van de aanhoudende schending van mensenrechten in landen binnen de VN</t>
  </si>
  <si>
    <t>DB0036</t>
  </si>
  <si>
    <t>Debat aangaande de aanstaande internationale top in Den Haag</t>
  </si>
  <si>
    <t>KV0007</t>
  </si>
  <si>
    <t>Kamervragen over problemen in de turnwereld</t>
  </si>
  <si>
    <t xml:space="preserve"> In verband met het persoonlijke karakter van de materie ingetrokken door het presidium.</t>
  </si>
  <si>
    <t>DB0037</t>
  </si>
  <si>
    <t>Debat over toestand in Wit-Rusland</t>
  </si>
  <si>
    <t>KV0008</t>
  </si>
  <si>
    <t>Kamervragen aangaande illegitieme inzet hackingtools politie</t>
  </si>
  <si>
    <t>KV0009</t>
  </si>
  <si>
    <t>wmrps</t>
  </si>
  <si>
    <t>Kamervragen naar aanleiding van oplopende wachttijden voor euthanasieverzoeken van psychiatrische patiënten</t>
  </si>
  <si>
    <t>N0005</t>
  </si>
  <si>
    <t>RMTK</t>
  </si>
  <si>
    <t>Verkiezing I</t>
  </si>
  <si>
    <t>Verkiezing II</t>
  </si>
  <si>
    <t>Verkiezing III</t>
  </si>
  <si>
    <t>Verkiezing IV</t>
  </si>
  <si>
    <t>Verkiezing V</t>
  </si>
  <si>
    <t>Verkiezing VI</t>
  </si>
  <si>
    <t>Verkiezing VII</t>
  </si>
  <si>
    <t>Verkiezing VIII</t>
  </si>
  <si>
    <t>Verkiezing IX</t>
  </si>
  <si>
    <t>Verkiezing X</t>
  </si>
  <si>
    <t>Juni</t>
  </si>
  <si>
    <t>Juli</t>
  </si>
  <si>
    <t>Augustus</t>
  </si>
  <si>
    <t>September</t>
  </si>
  <si>
    <t>Oktober</t>
  </si>
  <si>
    <t>November</t>
  </si>
  <si>
    <t>December</t>
  </si>
  <si>
    <t>Januari</t>
  </si>
  <si>
    <t>Februari</t>
  </si>
  <si>
    <t>Maart</t>
  </si>
  <si>
    <t>April</t>
  </si>
  <si>
    <t>Mei</t>
  </si>
  <si>
    <t>Nummer Premier</t>
  </si>
  <si>
    <t>1e Premier</t>
  </si>
  <si>
    <t>2e Premier</t>
  </si>
  <si>
    <t>Reces</t>
  </si>
  <si>
    <t>3e Premier</t>
  </si>
  <si>
    <t>3.5e</t>
  </si>
  <si>
    <t>4e Premier</t>
  </si>
  <si>
    <t>5e Premier</t>
  </si>
  <si>
    <t>6e Premier</t>
  </si>
  <si>
    <t>7e Premier</t>
  </si>
  <si>
    <t>8e Premier</t>
  </si>
  <si>
    <t>9e Premier</t>
  </si>
  <si>
    <t>Reset</t>
  </si>
  <si>
    <t>10e Premier</t>
  </si>
  <si>
    <t>11e Premier</t>
  </si>
  <si>
    <t>12e Premier</t>
  </si>
  <si>
    <t>13e Premier</t>
  </si>
  <si>
    <t>14e Premier</t>
  </si>
  <si>
    <t>15e Premier</t>
  </si>
  <si>
    <t>16e Premier</t>
  </si>
  <si>
    <t>Nummer Kabinet</t>
  </si>
  <si>
    <t>1e Kabinet</t>
  </si>
  <si>
    <t>1.5e Kabinet</t>
  </si>
  <si>
    <t>2e Kabinet</t>
  </si>
  <si>
    <t>3e</t>
  </si>
  <si>
    <t>4e Kabinet</t>
  </si>
  <si>
    <t>5e Kabinet</t>
  </si>
  <si>
    <t>6e Kabinet</t>
  </si>
  <si>
    <t>7e Kabinet</t>
  </si>
  <si>
    <t>8e Kabinet</t>
  </si>
  <si>
    <t>9e Kabinet</t>
  </si>
  <si>
    <t>10e Kabinet</t>
  </si>
  <si>
    <t>11e Kabinet</t>
  </si>
  <si>
    <t>12e Kabinet</t>
  </si>
  <si>
    <t>13e Kabinet</t>
  </si>
  <si>
    <t>14e Kabinet</t>
  </si>
  <si>
    <t>15e Kabinet</t>
  </si>
  <si>
    <t>16e Kabinet</t>
  </si>
  <si>
    <t>17e Kabinet</t>
  </si>
  <si>
    <t>18e Kabinet</t>
  </si>
  <si>
    <t>19e Kabinet</t>
  </si>
  <si>
    <t>20e Kabinet</t>
  </si>
  <si>
    <t>21e Kabinet</t>
  </si>
  <si>
    <t>22e Kabinet</t>
  </si>
  <si>
    <t>23e Kabinet</t>
  </si>
  <si>
    <t>24e Kabinet</t>
  </si>
  <si>
    <t>25e Kabinet</t>
  </si>
  <si>
    <t>Kabinet-Mitorr</t>
  </si>
  <si>
    <t>Interimregering-th8</t>
  </si>
  <si>
    <t>MTFD I</t>
  </si>
  <si>
    <t>Kabinet-MTFD II</t>
  </si>
  <si>
    <t>Kabinet-MTFD III</t>
  </si>
  <si>
    <t>Kabinet-MTFD IV</t>
  </si>
  <si>
    <t>Kabinet-Vylander I</t>
  </si>
  <si>
    <t>Kabinet-MrJoey98</t>
  </si>
  <si>
    <t>Kabinet-TheJelleyFish</t>
  </si>
  <si>
    <t>Kabinet-Quintionus I</t>
  </si>
  <si>
    <t>Kabinet-Quintionus II</t>
  </si>
  <si>
    <t>Kabinet-Quintionus III</t>
  </si>
  <si>
    <t>Kabinet-Vylander II</t>
  </si>
  <si>
    <t>Vylander III</t>
  </si>
  <si>
    <t>Kabinet-Vylander IV</t>
  </si>
  <si>
    <t>jespertjee</t>
  </si>
  <si>
    <t>Der_Kohl II</t>
  </si>
  <si>
    <t>Kabinet House_of_Farts III</t>
  </si>
  <si>
    <t>D66-GL-PvdA</t>
  </si>
  <si>
    <t>GL-PvdA-SP-CPN-PP</t>
  </si>
  <si>
    <t>GL-CPN-MPN-PVV-S&amp;V</t>
  </si>
  <si>
    <t>...</t>
  </si>
  <si>
    <t>D66-GL-DNL-S&amp;V</t>
  </si>
  <si>
    <t>D66-VVD-PVV-LU-CDA</t>
  </si>
  <si>
    <t>D66-VVD-PVV-GPN</t>
  </si>
  <si>
    <t>VVD-PVV-CPN-PSP</t>
  </si>
  <si>
    <t>D66-GR-VVD</t>
  </si>
  <si>
    <t>GR-LPU-FVD</t>
  </si>
  <si>
    <t>D66-FVD-VVD-SVN</t>
  </si>
  <si>
    <t>D66-FVD-VVD-Th8</t>
  </si>
  <si>
    <t>D66-GR-LPU-Th8</t>
  </si>
  <si>
    <t>D66-GR-VVD-CU</t>
  </si>
  <si>
    <r>
      <t xml:space="preserve">VVD-D66-CU </t>
    </r>
    <r>
      <rPr/>
      <t>(</t>
    </r>
    <r>
      <rPr>
        <i/>
      </rPr>
      <t>+ FVD</t>
    </r>
    <r>
      <rPr/>
      <t>)</t>
    </r>
  </si>
  <si>
    <t>PGV-SDC-SP-MBE</t>
  </si>
  <si>
    <t>DA'19-PGV-SDC-STR</t>
  </si>
  <si>
    <t>DA'19-SP</t>
  </si>
  <si>
    <t>DA'19-LPU</t>
  </si>
  <si>
    <t>SP-DA'19-BRV-ALFUS</t>
  </si>
  <si>
    <t>PPR-LL-DA'19</t>
  </si>
  <si>
    <t>ACAB-1NL-PPR</t>
  </si>
  <si>
    <t>GPA-ACAB</t>
  </si>
  <si>
    <t>GPA-1NL-NRV</t>
  </si>
  <si>
    <t>Minister-President</t>
  </si>
  <si>
    <t>Mitorr</t>
  </si>
  <si>
    <t>MrJoey98</t>
  </si>
  <si>
    <t>Quintionus</t>
  </si>
  <si>
    <t>graansmoothie</t>
  </si>
  <si>
    <t>1e Vice-Premier</t>
  </si>
  <si>
    <t>Waz_met_jou</t>
  </si>
  <si>
    <t>Blackdutchie</t>
  </si>
  <si>
    <t>Pepsterd</t>
  </si>
  <si>
    <t>Jurryaany</t>
  </si>
  <si>
    <t>Alpha_C</t>
  </si>
  <si>
    <t>OKELEUK</t>
  </si>
  <si>
    <t>not-an-account</t>
  </si>
  <si>
    <t>Wouttah</t>
  </si>
  <si>
    <t>splcy_meme</t>
  </si>
  <si>
    <t>2e Vice-Premier</t>
  </si>
  <si>
    <t>WarmFootHills</t>
  </si>
  <si>
    <t>kooienb</t>
  </si>
  <si>
    <t>KrabbHD</t>
  </si>
  <si>
    <t>Avinator</t>
  </si>
  <si>
    <t>Roenmane</t>
  </si>
  <si>
    <t>Neofex_Maximus</t>
  </si>
  <si>
    <t>Imperator_Pastollini</t>
  </si>
  <si>
    <t>3e Vice-Premier</t>
  </si>
  <si>
    <t>BrentTheAirvent</t>
  </si>
  <si>
    <t>Secretaris-Generaal</t>
  </si>
  <si>
    <t>Dekoul</t>
  </si>
  <si>
    <t>Kooienb</t>
  </si>
  <si>
    <t>Voorzitter(s)</t>
  </si>
  <si>
    <t>AnnaLittleAlice</t>
  </si>
  <si>
    <t>Ploefke</t>
  </si>
  <si>
    <t>th8 a.i.</t>
  </si>
  <si>
    <t>Akuran</t>
  </si>
  <si>
    <t>Nickmanbear</t>
  </si>
  <si>
    <t>nickmanbear</t>
  </si>
  <si>
    <t>Paddo_in_Wonderland</t>
  </si>
  <si>
    <t>triumviraat Alfus, th8 &amp; Toukiedatak</t>
  </si>
  <si>
    <t>1e Ondervoorzitter</t>
  </si>
  <si>
    <t>SabasNL</t>
  </si>
  <si>
    <t>Embertorchclaw</t>
  </si>
  <si>
    <t>roenmane</t>
  </si>
  <si>
    <t>2e Ondervoorzitter</t>
  </si>
  <si>
    <t>wouttah</t>
  </si>
  <si>
    <t>Mark1802</t>
  </si>
  <si>
    <t>3e Ondervoorzitter</t>
  </si>
  <si>
    <t>7hielke</t>
  </si>
  <si>
    <t>Partijen
(actief)</t>
  </si>
  <si>
    <t>Pre-reset (partijen pas actief sinds Nov. 2018)  -&gt;-------------------------------------------------------------------------------------------------------------------------------------------------------------------------------------------------------------------------------------------------------------------------------------------------------------------------------------------------------------------------------------------------------------------------------------------------------------------------------------------------------------------------------------------------------------------------------------------------------------------------&gt;</t>
  </si>
  <si>
    <t>Partijen zonder
zetels</t>
  </si>
  <si>
    <t>Pre-reset (partijen pas actief sinds Nov. 2018)  -&gt;----------------------------------------------------------------------------------------------------------------------------------------------------------------------------------------------------------------------------------------------------------------------------------------------------------------------------------------------------------------------------------------------------------------------------------------------------------------------------------------------------------------------------------------------------------------------------------------------------------------------------------------------------------------------------------------------------------------------------------------------------------------------------------------------------------------&gt;</t>
  </si>
  <si>
    <t>Partijen
(niet meer
actief)</t>
  </si>
  <si>
    <t>GD</t>
  </si>
  <si>
    <t xml:space="preserve">Dekoul </t>
  </si>
  <si>
    <t>Ontbonden door inactiviteit</t>
  </si>
  <si>
    <t>overgegaan in MPN</t>
  </si>
  <si>
    <t>CPN</t>
  </si>
  <si>
    <t>Voormalige MPN</t>
  </si>
  <si>
    <t>theultimatetrol</t>
  </si>
  <si>
    <t>themcattacker</t>
  </si>
  <si>
    <t>Gefuseerd met PSP tot LPU</t>
  </si>
  <si>
    <t>MPN</t>
  </si>
  <si>
    <t>Voormalige SP-CPN fusiepartij</t>
  </si>
  <si>
    <t>overgegaan in CPN</t>
  </si>
  <si>
    <t>PP</t>
  </si>
  <si>
    <t>Sectiehoofd</t>
  </si>
  <si>
    <t>xx253xx</t>
  </si>
  <si>
    <t>Gefuseerd met CDA tot LPF</t>
  </si>
  <si>
    <t>PvdA</t>
  </si>
  <si>
    <t>Gefuseerd met deel PP tot PPvdA</t>
  </si>
  <si>
    <t>Voormalige S&amp;V</t>
  </si>
  <si>
    <t>Partij ontbonden door partijleider</t>
  </si>
  <si>
    <t>Gefuseerd met PP tot LPF</t>
  </si>
  <si>
    <t>GL</t>
  </si>
  <si>
    <t>Gefuseerd met DNL tot GR</t>
  </si>
  <si>
    <t>PVV</t>
  </si>
  <si>
    <t>Not-an-account</t>
  </si>
  <si>
    <t>Overgegaan in FVD</t>
  </si>
  <si>
    <t>PPvdA</t>
  </si>
  <si>
    <t>Voormalig deel van PP en PvdA</t>
  </si>
  <si>
    <t>.</t>
  </si>
  <si>
    <t>Gedwongen tot omvorming tot S&amp;V</t>
  </si>
  <si>
    <t>S&amp;V</t>
  </si>
  <si>
    <t>Voormalige PPvdA</t>
  </si>
  <si>
    <t>Voormalige PP en PvdA</t>
  </si>
  <si>
    <t>overgegaan in PvdA</t>
  </si>
  <si>
    <t>Voormalige CDA met deel PVV</t>
  </si>
  <si>
    <t>Ontbonden door partijleiding</t>
  </si>
  <si>
    <t>GVS</t>
  </si>
  <si>
    <t>Overgegaan in LU</t>
  </si>
  <si>
    <t>LU</t>
  </si>
  <si>
    <t>Voormalige GVS</t>
  </si>
  <si>
    <t>Ontbonden door partijbestuur</t>
  </si>
  <si>
    <t>GPN</t>
  </si>
  <si>
    <t>Opgegaan in PSP</t>
  </si>
  <si>
    <t>DNL</t>
  </si>
  <si>
    <t>Frozen_Ultron</t>
  </si>
  <si>
    <t>Meneer_vd_AIVD</t>
  </si>
  <si>
    <t>Gefuseerd met GL tot GR</t>
  </si>
  <si>
    <t>SVN</t>
  </si>
  <si>
    <t>Partij besloot niet mee te doen aan verkiezingen</t>
  </si>
  <si>
    <t>PSP</t>
  </si>
  <si>
    <t>Afsplitsing van GL</t>
  </si>
  <si>
    <t>Vladim_Sokov</t>
  </si>
  <si>
    <t>Gefuseerd met CPN tot LPU</t>
  </si>
  <si>
    <t>ENCP</t>
  </si>
  <si>
    <t>RapidRabbit7</t>
  </si>
  <si>
    <t>SGP</t>
  </si>
  <si>
    <t>Lunarm</t>
  </si>
  <si>
    <t>Overgegaan in CU</t>
  </si>
  <si>
    <t>Fusie van CPN en PSP</t>
  </si>
  <si>
    <t>Overgegaan in SDAP</t>
  </si>
  <si>
    <t>Th8</t>
  </si>
  <si>
    <t>Leden overgestapt naar RPN</t>
  </si>
  <si>
    <t>Fusie van DNL en GL</t>
  </si>
  <si>
    <t>Opgegaan in RPN</t>
  </si>
  <si>
    <t>Jekkert</t>
  </si>
  <si>
    <t>LTIstarcraft</t>
  </si>
  <si>
    <t>Jespertjee</t>
  </si>
  <si>
    <t>Opgeheven ivm reset</t>
  </si>
  <si>
    <t>D66</t>
  </si>
  <si>
    <t>FVD</t>
  </si>
  <si>
    <t>Voormalige PVV</t>
  </si>
  <si>
    <t>CU</t>
  </si>
  <si>
    <t>SDAP</t>
  </si>
  <si>
    <t>Voormalige LPU</t>
  </si>
  <si>
    <t>Nederman95</t>
  </si>
  <si>
    <t>Balsag43</t>
  </si>
  <si>
    <t>RPN</t>
  </si>
  <si>
    <t>KVP</t>
  </si>
  <si>
    <t>VLPN</t>
  </si>
  <si>
    <t>RedKiev</t>
  </si>
  <si>
    <t>Leden stapte over naar SP</t>
  </si>
  <si>
    <t>PvE</t>
  </si>
  <si>
    <t>Ramkoe</t>
  </si>
  <si>
    <t>Leden stapte over naar MBE en D'18</t>
  </si>
  <si>
    <t>5SB</t>
  </si>
  <si>
    <t xml:space="preserve"> </t>
  </si>
  <si>
    <t>PTDB</t>
  </si>
  <si>
    <t>Axellio</t>
  </si>
  <si>
    <t>GCP</t>
  </si>
  <si>
    <t>MeisterMees</t>
  </si>
  <si>
    <t>Gefuseerd met D'18 tot DA'19</t>
  </si>
  <si>
    <t>Gefuseerd met MBE tot DA'19</t>
  </si>
  <si>
    <t>Bergtop</t>
  </si>
  <si>
    <t>Opgegaan in STREEP!</t>
  </si>
  <si>
    <t>NLU</t>
  </si>
  <si>
    <t>DutchKiwi</t>
  </si>
  <si>
    <t>Voormalige GR</t>
  </si>
  <si>
    <t>Opgegaan in BRV</t>
  </si>
  <si>
    <t>LTIStarcraft</t>
  </si>
  <si>
    <t>NVP</t>
  </si>
  <si>
    <t>DeMakker</t>
  </si>
  <si>
    <t>DdK</t>
  </si>
  <si>
    <t>DolfdeKraai</t>
  </si>
  <si>
    <t>PGV</t>
  </si>
  <si>
    <t>Gefuseerd met SDC tot LPU</t>
  </si>
  <si>
    <t>SDC</t>
  </si>
  <si>
    <t>Gefuseerd met PGV tot LPU</t>
  </si>
  <si>
    <t>SN</t>
  </si>
  <si>
    <t>Opgegaan in LPF</t>
  </si>
  <si>
    <t>P</t>
  </si>
  <si>
    <t>Afsplitsing van DA'19</t>
  </si>
  <si>
    <t>Opgegaan in LPU</t>
  </si>
  <si>
    <t>LittleMighty_</t>
  </si>
  <si>
    <t>Opgegaan in LL</t>
  </si>
  <si>
    <t>zie opmerking</t>
  </si>
  <si>
    <t>Later opgegaan in 1NL</t>
  </si>
  <si>
    <t>Fusie van PGV en SDC</t>
  </si>
  <si>
    <t>Leden overgestapt naar PPR en 1NL</t>
  </si>
  <si>
    <t>Afsplitsing van SP</t>
  </si>
  <si>
    <t>FSP</t>
  </si>
  <si>
    <t>ianwitten</t>
  </si>
  <si>
    <t>Mertaan</t>
  </si>
  <si>
    <t>Opgegaan in Lijst Toukiedatak</t>
  </si>
  <si>
    <t>Voormalig SN</t>
  </si>
  <si>
    <t>Opgegaan in 1NL</t>
  </si>
  <si>
    <t>Voormalige EGP</t>
  </si>
  <si>
    <t>Fusie van D'18 en MBE</t>
  </si>
  <si>
    <t>Gefuseerd met PPR tot GPA</t>
  </si>
  <si>
    <t>Gefuseerd met DA'19 tot GPA</t>
  </si>
  <si>
    <t>Fusie van VVD en STREEP!</t>
  </si>
  <si>
    <t>Mark_Usher</t>
  </si>
  <si>
    <t>Partij ontbonden</t>
  </si>
  <si>
    <t>Verkiezing
VIII</t>
  </si>
  <si>
    <t>Kabinet-Der_Kohl</t>
  </si>
  <si>
    <t>Verkiezing
IX</t>
  </si>
  <si>
    <t>Verkiezing
X</t>
  </si>
  <si>
    <t>Verkiezing
XI</t>
  </si>
  <si>
    <t>Jun. 19 (1/2)</t>
  </si>
  <si>
    <t>jun. 19 (2/2)</t>
  </si>
  <si>
    <t>35 zetels</t>
  </si>
  <si>
    <t>25 zetels</t>
  </si>
  <si>
    <t>Feeblemeltdown</t>
  </si>
  <si>
    <t>ikbenjanmarnik</t>
  </si>
  <si>
    <t>bramterlouw</t>
  </si>
  <si>
    <t>Mark_Usher_</t>
  </si>
  <si>
    <t>Thatsmyjem</t>
  </si>
  <si>
    <t>flipjum</t>
  </si>
  <si>
    <t>keijeman</t>
  </si>
  <si>
    <t>wmprs</t>
  </si>
  <si>
    <t>minethestickman</t>
  </si>
  <si>
    <t>MevrouVV</t>
  </si>
  <si>
    <t>Zetel naar NRV</t>
  </si>
  <si>
    <t>ToukieDatak</t>
  </si>
  <si>
    <t>DeadCatLarry</t>
  </si>
  <si>
    <t>Obsidi3</t>
  </si>
  <si>
    <t>Sambalchuck</t>
  </si>
  <si>
    <t>Yeblured</t>
  </si>
  <si>
    <t>yeblured</t>
  </si>
  <si>
    <t>joelletje</t>
  </si>
  <si>
    <t>Xeloa</t>
  </si>
  <si>
    <t>Ilja1995</t>
  </si>
  <si>
    <t>Materijn</t>
  </si>
  <si>
    <t>therealjansanono</t>
  </si>
  <si>
    <t>Tariklfc</t>
  </si>
  <si>
    <t>PM_ME_UR_ALLIGATOR</t>
  </si>
  <si>
    <t>koelan_vds</t>
  </si>
  <si>
    <t>OFBult</t>
  </si>
  <si>
    <t>Bartlovepuch</t>
  </si>
  <si>
    <t>littlemighty_</t>
  </si>
  <si>
    <t>basboord</t>
  </si>
  <si>
    <t>therealkovu</t>
  </si>
  <si>
    <t>Basboord</t>
  </si>
  <si>
    <t>Joelletje</t>
  </si>
  <si>
    <t xml:space="preserve">123ricardo210       </t>
  </si>
  <si>
    <t>DeadmeatSubs</t>
  </si>
  <si>
    <t>Dekks_Was_Taken</t>
  </si>
  <si>
    <t>Koelan_vds</t>
  </si>
  <si>
    <t>dajasj</t>
  </si>
  <si>
    <t>Jack-Grover191</t>
  </si>
  <si>
    <t>SanderB2002</t>
  </si>
  <si>
    <t>Embroarsflamingbeard</t>
  </si>
  <si>
    <t>Zetel gegeven aan NRV</t>
  </si>
  <si>
    <t>Zetel van GPA</t>
  </si>
  <si>
    <t>Zetel naar GMW</t>
  </si>
  <si>
    <t>Zetel van 1NL</t>
  </si>
  <si>
    <t>Zetel van LTD</t>
  </si>
  <si>
    <t>SprUtch</t>
  </si>
  <si>
    <t>5 zetels</t>
  </si>
  <si>
    <t>6 zetels</t>
  </si>
  <si>
    <t>7 zetels</t>
  </si>
  <si>
    <t>4 zetels</t>
  </si>
  <si>
    <t>davidmidnan</t>
  </si>
  <si>
    <t xml:space="preserve">JohanCAvdM        </t>
  </si>
  <si>
    <t>Isawk</t>
  </si>
  <si>
    <t>dewaterdrinker</t>
  </si>
  <si>
    <t>Crocettet</t>
  </si>
  <si>
    <t>mertaan</t>
  </si>
  <si>
    <t>metalfros</t>
  </si>
  <si>
    <t>sottof</t>
  </si>
  <si>
    <t>Jurriyaany</t>
  </si>
  <si>
    <t>10 zetels</t>
  </si>
  <si>
    <t>9 zetels</t>
  </si>
  <si>
    <t>pctrademark</t>
  </si>
  <si>
    <t>brentvsc</t>
  </si>
  <si>
    <t>Alsta</t>
  </si>
  <si>
    <t xml:space="preserve">Oestersaus </t>
  </si>
  <si>
    <t>Tweede Kamer
(25 zetels)</t>
  </si>
  <si>
    <t>Sec
Gen</t>
  </si>
  <si>
    <t>Ond. Vrz.</t>
  </si>
  <si>
    <t>Min
Pres</t>
  </si>
  <si>
    <t>Verdeling Eerste en Tweede Kamer,
Coalitie en Oppositie</t>
  </si>
  <si>
    <t>Vrz.</t>
  </si>
  <si>
    <t>Eerste Kamer (4 zetels)</t>
  </si>
  <si>
    <t>Coalitie: (13 zetels)</t>
  </si>
  <si>
    <t>2 zetels</t>
  </si>
  <si>
    <t>Oppositie: (12 zetels)</t>
  </si>
  <si>
    <t>1 zetel</t>
  </si>
  <si>
    <t>Nr.
Kabinet</t>
  </si>
  <si>
    <t>Ministeries:</t>
  </si>
  <si>
    <t>Ministers en Staatssecretarissen:</t>
  </si>
  <si>
    <t>25e kabinet</t>
  </si>
  <si>
    <t>Kabinet-House_of_Farts III (GPA-1NL-NRV)</t>
  </si>
  <si>
    <t>[ regeerakkoord Een Frisse Wind ]</t>
  </si>
  <si>
    <t>Minister-President, Minister van Algemene Zaken</t>
  </si>
  <si>
    <t>Eerste Vice-Premier</t>
  </si>
  <si>
    <t>Tweede Vice-Premier</t>
  </si>
  <si>
    <t>Minister van Binnenlandse Zaken en Koninkrijksrelaties</t>
  </si>
  <si>
    <t>Minister van Buitenlandse Zaken en Defensie</t>
  </si>
  <si>
    <t>Minister van Financiën en Economische Zaken</t>
  </si>
  <si>
    <t>Minister van Justitie en Veiligheid</t>
  </si>
  <si>
    <t>Minister van Klimaat, Natuur en Infrastructuur</t>
  </si>
  <si>
    <t>Minister van Volksgezondheid en Sociale Zaken</t>
  </si>
  <si>
    <t>Minister van Onderwijs, Cultuur en Wetenschap</t>
  </si>
  <si>
    <t>24e
Kabinet</t>
  </si>
  <si>
    <t>Kabinet-House_of_Farts II (GPA-ACAB)</t>
  </si>
  <si>
    <t>Minister van Binnenlandse Zaken, Koninkrijksrelaties en Justitie</t>
  </si>
  <si>
    <t>23e
Kabinet</t>
  </si>
  <si>
    <t>Kabinet-th8 (ACAB-1NL-PPR)</t>
  </si>
  <si>
    <t>Minister van Klimaat en Infrastructuur</t>
  </si>
  <si>
    <t>22e
Kabinet</t>
  </si>
  <si>
    <t>Kabinet-House_of_Farts (PPR-LL-DA'19)</t>
  </si>
  <si>
    <t>Leeg</t>
  </si>
  <si>
    <t xml:space="preserve">JohanCAvdM                        </t>
  </si>
  <si>
    <t>Minister van Buitenlandse Zaken, Handel en Ontwikkelingssamenwerking</t>
  </si>
  <si>
    <t>Minister van Veiligheid &amp; Defensie</t>
  </si>
  <si>
    <t>Minister van Financiën, Economische en Sociale Zaken</t>
  </si>
  <si>
    <t>MierenKnager</t>
  </si>
  <si>
    <t xml:space="preserve"> - Staatssecretaris voor Infrastructuur</t>
  </si>
  <si>
    <t>INFR</t>
  </si>
  <si>
    <t>Klaex</t>
  </si>
  <si>
    <t>Minister van Onderwijs, Cultuur, en Zorg</t>
  </si>
  <si>
    <t xml:space="preserve"> - Staatssecretaris voor Onderwijs, Cultuur, Wetenschap en Zorg</t>
  </si>
  <si>
    <t>OCWZ</t>
  </si>
  <si>
    <t>R_051</t>
  </si>
  <si>
    <t>Minister voor Transities en Innovatie</t>
  </si>
  <si>
    <t>21e
Kabinet</t>
  </si>
  <si>
    <t>Kabinet 7Hielke (SP-DA'19-BRV-Lijst Alfus)</t>
  </si>
  <si>
    <t>Derde Vice-Premier</t>
  </si>
  <si>
    <t>Minister van Buitenlandse Zaken</t>
  </si>
  <si>
    <t>Minister van Veiligheid en Justitie</t>
  </si>
  <si>
    <t>Minister van Defensie en Ontwikkelingssamenwerking</t>
  </si>
  <si>
    <t>DOWS</t>
  </si>
  <si>
    <t>Minister van Financiën</t>
  </si>
  <si>
    <t>Minister van Klimaat en Natuur</t>
  </si>
  <si>
    <t xml:space="preserve"> - Staatssecretaris van Klimaat en Natuur</t>
  </si>
  <si>
    <t>20e
Kabinet</t>
  </si>
  <si>
    <t>Kabinet HiddeVdV96 (DA'19-LPU)</t>
  </si>
  <si>
    <t>Vice-Premier</t>
  </si>
  <si>
    <t>Minister van Financiële en Economische Zaken</t>
  </si>
  <si>
    <t>Minister van Rechtsstaat en Defensie</t>
  </si>
  <si>
    <t>Minister van Infrastructuur en Milieu</t>
  </si>
  <si>
    <t>19e
Kabinet</t>
  </si>
  <si>
    <t>Kabinet Der_Kohl II (DA'19-SP)</t>
  </si>
  <si>
    <t>Ministerie van Rechtsstaat &amp; Defensie</t>
  </si>
  <si>
    <t>Minister van Volksgezondheid &amp; Sociale Zaken</t>
  </si>
  <si>
    <t>Minister van Klimaat &amp; Natuur</t>
  </si>
  <si>
    <t>18e
Kabinet</t>
  </si>
  <si>
    <t>Kabinet Der_Kohl I (DA'19-PGV-SDC-STR)</t>
  </si>
  <si>
    <t>Minister van Binnenlandse Zaken en Defensie</t>
  </si>
  <si>
    <t>Minister van Justitie &amp; Veiligheid</t>
  </si>
  <si>
    <t>Minister van Infrastructuur &amp; Milieu</t>
  </si>
  <si>
    <t>Minister van Gezondheid, Werk en Inkomen</t>
  </si>
  <si>
    <t>17e
Kabinet</t>
  </si>
  <si>
    <t>Kabinet-graansmoothie (PGV-SDC-SP-MBE)</t>
  </si>
  <si>
    <t>Minister van Financiën &amp; Sociale Zaken</t>
  </si>
  <si>
    <t>Minister van Buitenlandse Zaken en Koninksrijksrelaties</t>
  </si>
  <si>
    <t>Minister van Economische Zaken, Klimaat en Werkgelegenheid</t>
  </si>
  <si>
    <t>Minister van Volksgezondheid, Welzijn en Voedselkwaliteit</t>
  </si>
  <si>
    <t>rebellemon2441</t>
  </si>
  <si>
    <t>Minister van Onderwijs, Cultuur, Wetenschap en Sport</t>
  </si>
  <si>
    <t>Minister van Omgeving en Infrastructuur</t>
  </si>
  <si>
    <t>exafighter</t>
  </si>
  <si>
    <t>Wetten</t>
  </si>
  <si>
    <t>Debatten &amp; Kamervragen</t>
  </si>
  <si>
    <t>Indien een lid van partij wisselt worden de gegevens niet retroactief veranderd</t>
  </si>
  <si>
    <t>TK zetels</t>
  </si>
  <si>
    <t>EK zetels</t>
  </si>
  <si>
    <t>Ingediend</t>
  </si>
  <si>
    <t>%</t>
  </si>
  <si>
    <t>Door TK</t>
  </si>
  <si>
    <t>Door EK</t>
  </si>
  <si>
    <t>House_of_Farts-II</t>
  </si>
  <si>
    <t>14 -&gt; 13</t>
  </si>
  <si>
    <t>8 -&gt; 7</t>
  </si>
  <si>
    <t>5 -&gt; 4</t>
  </si>
  <si>
    <t>0 -&gt; 2</t>
  </si>
  <si>
    <t>zetelloos:</t>
  </si>
  <si>
    <t>House_of_Farts-I</t>
  </si>
  <si>
    <t>Der_Kohl-II</t>
  </si>
  <si>
    <t>Der_Kohl-I</t>
  </si>
  <si>
    <t>Graansmoothie</t>
  </si>
  <si>
    <t xml:space="preserve">RMTK </t>
  </si>
  <si>
    <t>verkiezingen</t>
  </si>
  <si>
    <r>
      <rPr>
        <color rgb="FFFFFFFF"/>
        <u/>
      </rPr>
      <t>drive</t>
    </r>
    <r>
      <rPr>
        <color rgb="FFFFFFFF"/>
      </rPr>
      <t xml:space="preserve"> &amp; </t>
    </r>
    <r>
      <rPr>
        <color rgb="FFFFFFFF"/>
        <u/>
      </rPr>
      <t>github</t>
    </r>
  </si>
  <si>
    <r>
      <t xml:space="preserve">      Nove</t>
    </r>
    <r>
      <rPr>
        <color rgb="FFFFFFFF"/>
      </rPr>
      <t>m</t>
    </r>
    <r>
      <t>ber</t>
    </r>
  </si>
  <si>
    <r>
      <t xml:space="preserve">                          Sep</t>
    </r>
    <r>
      <rPr>
        <color rgb="FFFFFFFF"/>
      </rPr>
      <t>te</t>
    </r>
    <r>
      <t>mber</t>
    </r>
  </si>
  <si>
    <r>
      <t xml:space="preserve">                      M</t>
    </r>
    <r>
      <rPr>
        <color rgb="FFEFEFEF"/>
      </rPr>
      <t>aa</t>
    </r>
    <r>
      <t>rt</t>
    </r>
  </si>
  <si>
    <r>
      <t xml:space="preserve">                         M</t>
    </r>
    <r>
      <rPr>
        <color rgb="FFFFFFFF"/>
      </rPr>
      <t>a</t>
    </r>
    <r>
      <t>art</t>
    </r>
  </si>
  <si>
    <t xml:space="preserve">Vooraankondiging </t>
  </si>
  <si>
    <t>Inclusief:</t>
  </si>
  <si>
    <t>Link</t>
  </si>
  <si>
    <t>archive.is</t>
  </si>
  <si>
    <t>RESET</t>
  </si>
  <si>
    <t>Propagandacompetitie</t>
  </si>
  <si>
    <t xml:space="preserve">Verkiezingsthread </t>
  </si>
  <si>
    <t>verkiezingsuitslagen</t>
  </si>
  <si>
    <t xml:space="preserve">Verificatiethread </t>
  </si>
  <si>
    <t>regeerakkoorden</t>
  </si>
  <si>
    <t>http://rmtk.melect.net gebruikt.</t>
  </si>
  <si>
    <t>Uitslagen</t>
  </si>
  <si>
    <t>partijprogramma's</t>
  </si>
  <si>
    <t>Overig</t>
  </si>
  <si>
    <t>propaganda                          peilingen</t>
  </si>
  <si>
    <t>Livethread</t>
  </si>
  <si>
    <t>Lijsttrekkersdebat</t>
  </si>
  <si>
    <r>
      <rPr>
        <color rgb="FF1155CC"/>
        <u/>
      </rPr>
      <t>Pledge cards,</t>
    </r>
    <r>
      <t xml:space="preserve">
</t>
    </r>
    <r>
      <rPr>
        <color rgb="FF1155CC"/>
        <u/>
      </rPr>
      <t>Lijsttrekkersdebat,</t>
    </r>
    <r>
      <t xml:space="preserve">
</t>
    </r>
  </si>
  <si>
    <r>
      <rPr>
        <color rgb="FF1155CC"/>
        <u/>
      </rPr>
      <t>Lijsttrekkersdebatvideo</t>
    </r>
    <r>
      <t xml:space="preserve">,
</t>
    </r>
    <r>
      <rPr>
        <color rgb="FF1155CC"/>
        <u/>
      </rPr>
      <t xml:space="preserve">propagandacompetitie uitslagen, </t>
    </r>
  </si>
  <si>
    <r>
      <rPr>
        <color rgb="FF1155CC"/>
        <u/>
      </rPr>
      <t>Lijsttrekkersdebat 1: Huizenkoorts bereikt nieuw hoogtepunt ,</t>
    </r>
    <r>
      <t xml:space="preserve">
</t>
    </r>
    <r>
      <rPr>
        <color rgb="FF1155CC"/>
        <u/>
      </rPr>
      <t>Lijsttrekkersdebat 2: 'GGZ onder druk',</t>
    </r>
    <r>
      <t xml:space="preserve">
</t>
    </r>
    <r>
      <rPr>
        <color rgb="FF1155CC"/>
        <u/>
      </rPr>
      <t>RMTK Verkiezingen VIII verkiezingsshow</t>
    </r>
  </si>
  <si>
    <r>
      <rPr>
        <color rgb="FF1155CC"/>
        <u/>
      </rPr>
      <t>Verkiezingsdebat 1: Veiligheid en Terrorisme,</t>
    </r>
    <r>
      <t xml:space="preserve">
</t>
    </r>
    <r>
      <rPr>
        <color rgb="FF1155CC"/>
        <u/>
      </rPr>
      <t>Verkiezingsdebat 2: Klimaat</t>
    </r>
  </si>
  <si>
    <t>Deelnemende partijen</t>
  </si>
  <si>
    <t>% v/d stemmen</t>
  </si>
  <si>
    <t>% v/d zetels</t>
  </si>
  <si>
    <t>28,00%</t>
  </si>
  <si>
    <t>Data verloren</t>
  </si>
  <si>
    <t>24,00%</t>
  </si>
  <si>
    <t>20,00%</t>
  </si>
  <si>
    <t>16,00%</t>
  </si>
  <si>
    <t>12,00%</t>
  </si>
  <si>
    <t>8,00%</t>
  </si>
  <si>
    <t>4,00%</t>
  </si>
  <si>
    <t>99.97%</t>
  </si>
  <si>
    <t>1: MPN en S&amp;V hebben een lijstverbinding</t>
  </si>
  <si>
    <t>1: Het aantal uitgebrachte stemmen gaf D66 recht op 9 zetels. Echter had D66 slechts 7 kandidaten op haar kieslijst staan. Zodoende zijn de twee zetels overeenkomstig Artikel P 10 van de Kieswet herverdeeld en gegeven aan GROEN en PVV.</t>
  </si>
  <si>
    <t>1: GL en CPN hebben een lijstverbinding.</t>
  </si>
  <si>
    <t>2: SP en SNL hebben een lijstverbinding</t>
  </si>
  <si>
    <t>3: Dekoul was voorzitter en verkreeg automatisch een zetel</t>
  </si>
  <si>
    <t>made by Toukiedatak</t>
  </si>
  <si>
    <t>Laatst geüpdate augustus 2020</t>
  </si>
  <si>
    <t>RMTK Hall of Fame</t>
  </si>
  <si>
    <t>Voor bijzondere inspanningen op Meta-gebied of elders op RMTK</t>
  </si>
  <si>
    <t>/u/Dekoul</t>
  </si>
  <si>
    <t>/u/TheDomCook</t>
  </si>
  <si>
    <t>/u/SabasNL</t>
  </si>
  <si>
    <t>/u/OKELEUK</t>
  </si>
  <si>
    <t>/u/Roenmane</t>
  </si>
  <si>
    <t>/u/Vylander</t>
  </si>
  <si>
    <t>‘’Koning der Nederlanden’’</t>
  </si>
  <si>
    <t>‘’Anonieme Man’’</t>
  </si>
  <si>
    <t>‘’SabaSS’’</t>
  </si>
  <si>
    <t>‘’Koning der Sossen’’</t>
  </si>
  <si>
    <t>‘’Eeuwig Minister van I&amp;M’’</t>
  </si>
  <si>
    <t>‘’Beste Premier van Nederland’’</t>
  </si>
  <si>
    <t>Actief van Jun. 2015 - Aug. 2015</t>
  </si>
  <si>
    <t>Actief van Jun. 2015 - Apr. 2016</t>
  </si>
  <si>
    <t>Actief van Jun. 2015 - Apr. 2018</t>
  </si>
  <si>
    <t>Actief van Jun. 2015 - Jan. 2019</t>
  </si>
  <si>
    <t>Actief van Jun. 2015 - Apr. 2019</t>
  </si>
  <si>
    <t>Koning van RMTK</t>
  </si>
  <si>
    <t>1e beheerder van Spreadsheet</t>
  </si>
  <si>
    <t>Ondervoorzitter</t>
  </si>
  <si>
    <t>Voorzitter</t>
  </si>
  <si>
    <t>Oprichter RMTK</t>
  </si>
  <si>
    <t>Secretaris-Generaal (a.i.)</t>
  </si>
  <si>
    <t>Raadslid</t>
  </si>
  <si>
    <t>Beheerder van Spreadsheet</t>
  </si>
  <si>
    <t>1e Voorzitter</t>
  </si>
  <si>
    <t>Minister van SZW en VWS</t>
  </si>
  <si>
    <t>Minister van V&amp;J, BZK en OCW</t>
  </si>
  <si>
    <t>Tweede Kamerlid</t>
  </si>
  <si>
    <t>Minister van Fin&amp;EZ, Def en BuZa</t>
  </si>
  <si>
    <t>Minister van OCW</t>
  </si>
  <si>
    <r>
      <t xml:space="preserve">Was lid van: </t>
    </r>
    <r>
      <rPr>
        <i/>
      </rPr>
      <t>Onafh.</t>
    </r>
  </si>
  <si>
    <t>Eerste Kamerlid</t>
  </si>
  <si>
    <t>Partijleider</t>
  </si>
  <si>
    <t>Minister van I&amp;M</t>
  </si>
  <si>
    <r>
      <t xml:space="preserve">Was lid van: </t>
    </r>
    <r>
      <rPr>
        <i/>
      </rPr>
      <t>PvdA, S&amp;V</t>
    </r>
  </si>
  <si>
    <r>
      <t xml:space="preserve">Was lid van:
</t>
    </r>
    <r>
      <rPr>
        <i/>
      </rPr>
      <t>D66, Onafh, PVV, LU, SVN, VVD</t>
    </r>
  </si>
  <si>
    <t>‘’Boxershort’’</t>
  </si>
  <si>
    <t>/u/TheJelleyFish</t>
  </si>
  <si>
    <r>
      <t xml:space="preserve">Was lid van: </t>
    </r>
    <r>
      <rPr>
        <i/>
      </rPr>
      <t>SP, MNP, CPN, LPU</t>
    </r>
  </si>
  <si>
    <r>
      <t xml:space="preserve">Was lid van:
</t>
    </r>
    <r>
      <rPr>
        <i/>
      </rPr>
      <t>PVV, LPF, LU, GVS, VVD, 
FVD, AEIÖU, LPF</t>
    </r>
  </si>
  <si>
    <t>Actief van Jun. 2015 - nu</t>
  </si>
  <si>
    <t>‘’Eeuwig Minister van OCW’’</t>
  </si>
  <si>
    <t>/u/koopabro</t>
  </si>
  <si>
    <r>
      <t xml:space="preserve">Was lid van: </t>
    </r>
    <r>
      <rPr>
        <i/>
      </rPr>
      <t>CDA, LPF, PVV, FVD, VVD</t>
    </r>
  </si>
  <si>
    <t>3x Secretaris-Generaal</t>
  </si>
  <si>
    <t>Actief van Jun. 2015 - Nu</t>
  </si>
  <si>
    <t>‘’Alcoholisme is het beste -isme’’</t>
  </si>
  <si>
    <t>/u/AnnaLittleAlice</t>
  </si>
  <si>
    <t>3x Voorzitter</t>
  </si>
  <si>
    <t>‘’Mevrouw de Voorzitter’’</t>
  </si>
  <si>
    <t>/u/Keijeman</t>
  </si>
  <si>
    <t>Actief van Dec. 2015 - Apr. 2018</t>
  </si>
  <si>
    <t>‘’Partijhopper’’</t>
  </si>
  <si>
    <t>/u/Nickmanbear</t>
  </si>
  <si>
    <t>Voorzitter (a.i.)</t>
  </si>
  <si>
    <t>Actief van Dec. 2015 - nu</t>
  </si>
  <si>
    <t>‘’Eeuwig Voorzitter, vader van de LPU’’</t>
  </si>
  <si>
    <t>Actief van Feb. 2016 - Jun. 2019</t>
  </si>
  <si>
    <t>Minister van BZK</t>
  </si>
  <si>
    <t>Minister van OCW en SWZ</t>
  </si>
  <si>
    <t>Minister van VWZ, OCW, BuZa en BZKJ</t>
  </si>
  <si>
    <t>Minister van Def. en Jus.</t>
  </si>
  <si>
    <t>Minister van VWS en BZKJ</t>
  </si>
  <si>
    <t>Staatss. van Jus.</t>
  </si>
  <si>
    <r>
      <t xml:space="preserve">Was lid van:
</t>
    </r>
    <r>
      <rPr>
        <i/>
      </rPr>
      <t>GL, PSP, TH8, RPN, ACB, ACAB</t>
    </r>
  </si>
  <si>
    <t>Minister van BZK en SZW</t>
  </si>
  <si>
    <r>
      <t xml:space="preserve">Was lid van: </t>
    </r>
    <r>
      <rPr>
        <i/>
      </rPr>
      <t>GL, GR, CU, CDA, BRV, 1NL. NRV</t>
    </r>
  </si>
  <si>
    <r>
      <t xml:space="preserve">Was lid van: 
</t>
    </r>
    <r>
      <rPr>
        <i/>
      </rPr>
      <t>CPN, PSP, LPU, SDAP, SP, D'18, DA'19, PPR, GPA</t>
    </r>
  </si>
  <si>
    <r>
      <t xml:space="preserve">Was lid van: </t>
    </r>
    <r>
      <rPr>
        <i/>
      </rPr>
      <t>VVD</t>
    </r>
  </si>
  <si>
    <r>
      <t xml:space="preserve">Was lid van: 
</t>
    </r>
    <r>
      <rPr>
        <i/>
      </rPr>
      <t>MNP, CPN, GPN, PSP, 
LPU, SDAP, CDA, SN, LPF, 1NL</t>
    </r>
  </si>
  <si>
    <t>/u/kooienb</t>
  </si>
  <si>
    <t>‘’GroenLinks-hater’’</t>
  </si>
  <si>
    <t>/u/Avinator</t>
  </si>
  <si>
    <r>
      <t xml:space="preserve">Was lid van:
</t>
    </r>
    <r>
      <rPr>
        <i/>
      </rPr>
      <t>CPN, LPU, SDAP, RPN, D'18, 
DA'19, SDC, LPU</t>
    </r>
  </si>
  <si>
    <t>Actief van Apr. 2016 - Mrt. 2019</t>
  </si>
  <si>
    <t>/u/Akuran</t>
  </si>
  <si>
    <t>/u/Jespertjee</t>
  </si>
  <si>
    <t>‘’Schreef de 1e succesvolle begroting’’</t>
  </si>
  <si>
    <t>‘’Brabander’’</t>
  </si>
  <si>
    <t>‘’Eeuwig Minister van BuZa’’</t>
  </si>
  <si>
    <t>Actief van Dec. 2016 - Apr. 2018</t>
  </si>
  <si>
    <t>/u/Kajtuu98</t>
  </si>
  <si>
    <t>Actief van Jun. 2016 - Dec. 2018</t>
  </si>
  <si>
    <t>Actief van Jun. 2016 - Nov. 2018</t>
  </si>
  <si>
    <t>‘’Mr. Meet-up’’</t>
  </si>
  <si>
    <t>Actief van Jan. 2017 - Nu</t>
  </si>
  <si>
    <t>/u/Quintionus</t>
  </si>
  <si>
    <t>Minister van Def. 
 BuZa, Fin&amp;EZ en Jus.</t>
  </si>
  <si>
    <t>‘’De Putsch was gerechtvaardigd’’</t>
  </si>
  <si>
    <t>Minister van OCW, BZK,
BuZa, SZW en GWI</t>
  </si>
  <si>
    <t>Minister van Fin&amp;EZ en I&amp;M</t>
  </si>
  <si>
    <t>Actief van Apr. 2017 - Apr. 2018</t>
  </si>
  <si>
    <t>Minister van BuZa</t>
  </si>
  <si>
    <t>Minister van V&amp;J, Def.</t>
  </si>
  <si>
    <r>
      <t xml:space="preserve">Was lid van: </t>
    </r>
    <r>
      <rPr>
        <i/>
      </rPr>
      <t>D66, GPN, VVD</t>
    </r>
  </si>
  <si>
    <r>
      <t xml:space="preserve">Was lid van: </t>
    </r>
    <r>
      <rPr>
        <i/>
      </rPr>
      <t>PVV, FVD</t>
    </r>
  </si>
  <si>
    <r>
      <t xml:space="preserve">Was lid van: </t>
    </r>
    <r>
      <rPr>
        <i/>
      </rPr>
      <t>PVV, FVD, AEIÖU</t>
    </r>
  </si>
  <si>
    <t>Minister van I&amp;M en OCW</t>
  </si>
  <si>
    <t>/u/Der_Kohl</t>
  </si>
  <si>
    <r>
      <t xml:space="preserve">Was lid van: </t>
    </r>
    <r>
      <rPr>
        <i/>
      </rPr>
      <t>VVD</t>
    </r>
  </si>
  <si>
    <r>
      <t xml:space="preserve">Was lid van: </t>
    </r>
    <r>
      <rPr>
        <i/>
      </rPr>
      <t>GR, D'18, DA'19, 
P, LPU, 1NL</t>
    </r>
  </si>
  <si>
    <t>/u/-___-_</t>
  </si>
  <si>
    <t>‘’Der_Coup’’</t>
  </si>
  <si>
    <t>‘’...of heet hij nou Willem! ipv Hidde?’’</t>
  </si>
  <si>
    <t>‘’Bitterbal met honosaus’’</t>
  </si>
  <si>
    <t>Actief van Apr. 2018 - Nu</t>
  </si>
  <si>
    <t>/u/RkRs21</t>
  </si>
  <si>
    <t>Actief van Nov. 2018 - Nu</t>
  </si>
  <si>
    <r>
      <t xml:space="preserve">Was lid van: </t>
    </r>
    <r>
      <rPr>
        <i/>
      </rPr>
      <t>D66</t>
    </r>
  </si>
  <si>
    <t>‘’Stabiele tweede keus’’</t>
  </si>
  <si>
    <t>/u/theguus</t>
  </si>
  <si>
    <t>Actief van Nov. 2018 - Jun. 2020</t>
  </si>
  <si>
    <t>‘’G’’</t>
  </si>
  <si>
    <t>/u/House_of_Farts</t>
  </si>
  <si>
    <t>"Onderzoekscommissie gone wrong"</t>
  </si>
  <si>
    <t>Spreadsheetgoochelaar</t>
  </si>
  <si>
    <t>Actief van Jan. 2019 - Nu</t>
  </si>
  <si>
    <r>
      <t xml:space="preserve">Was lid van:
</t>
    </r>
    <r>
      <rPr>
        <i/>
      </rPr>
      <t>VVD, D66, RPN, D'18, STR,
BRV, DA'19, CVG, LPU, SP, ACAB, NRV</t>
    </r>
  </si>
  <si>
    <t>Minister van GWI en VSZ</t>
  </si>
  <si>
    <t>Minister van BZKJ en I&amp;M</t>
  </si>
  <si>
    <t>Minister van BZK en Fin&amp;EZ</t>
  </si>
  <si>
    <r>
      <t xml:space="preserve">Was lid van: </t>
    </r>
    <r>
      <rPr>
        <i/>
      </rPr>
      <t>D66, RPN, 
D'18, DA'19, 1NL</t>
    </r>
  </si>
  <si>
    <r>
      <t xml:space="preserve">Was lid van: </t>
    </r>
    <r>
      <rPr>
        <i/>
      </rPr>
      <t>GR, STR, BRV, 1NL, NRV</t>
    </r>
  </si>
  <si>
    <t>/u/Paddo_in_wonderland</t>
  </si>
  <si>
    <t>"Geloof en drugs gaan goed samen"</t>
  </si>
  <si>
    <r>
      <t xml:space="preserve">Was lid van: </t>
    </r>
    <r>
      <rPr>
        <i/>
      </rPr>
      <t>SDC, LPU, PPR</t>
    </r>
  </si>
  <si>
    <r>
      <t xml:space="preserve">Was lid van: </t>
    </r>
    <r>
      <rPr>
        <i/>
      </rPr>
      <t>D'18, DA'19, LPU, PPR, GPA</t>
    </r>
  </si>
  <si>
    <r>
      <t xml:space="preserve">Was lid van: </t>
    </r>
    <r>
      <rPr>
        <i/>
      </rPr>
      <t>SP, PPR, GPA</t>
    </r>
  </si>
  <si>
    <t>Actief van mrt. 2017 - nu</t>
  </si>
  <si>
    <t>" Ús dei sil komme "</t>
  </si>
  <si>
    <t>Actief van Nov . 2018 - nu</t>
  </si>
  <si>
    <t>Was lid van:</t>
  </si>
  <si>
    <t>Archiefbeheerder</t>
  </si>
  <si>
    <t>CPN, SVN, KVP, CDA, CVG, 1NL, LP</t>
  </si>
  <si>
    <r>
      <t xml:space="preserve">Was lid van: </t>
    </r>
    <r>
      <rPr>
        <i/>
      </rPr>
      <t>SDC, FSP, LTD, GMW</t>
    </r>
  </si>
  <si>
    <t>TS0001</t>
  </si>
  <si>
    <t>TS0002</t>
  </si>
  <si>
    <t>TS0003</t>
  </si>
  <si>
    <t>TS0004</t>
  </si>
  <si>
    <t>TS0005</t>
  </si>
  <si>
    <t>TS0006</t>
  </si>
  <si>
    <t>TS0007+</t>
  </si>
  <si>
    <t>TS0008</t>
  </si>
  <si>
    <t>TS0009</t>
  </si>
  <si>
    <t>TS0010</t>
  </si>
  <si>
    <t>TS0011</t>
  </si>
  <si>
    <t>TS0012</t>
  </si>
  <si>
    <t>TS0013</t>
  </si>
  <si>
    <t>TS0014</t>
  </si>
  <si>
    <t>TS0015</t>
  </si>
  <si>
    <t>TS0016</t>
  </si>
  <si>
    <t>TS0017</t>
  </si>
  <si>
    <t>TS0018</t>
  </si>
  <si>
    <t>TS0019</t>
  </si>
  <si>
    <t>W0097-I</t>
  </si>
  <si>
    <t>W0103-I</t>
  </si>
  <si>
    <t xml:space="preserve">voor </t>
  </si>
  <si>
    <t>voor</t>
  </si>
  <si>
    <t>tegen</t>
  </si>
  <si>
    <t>https://www.reddit.com/r/RMTK/comments/g7t5gv/m0167_motie_tot_verbieden_participatieverklaring/</t>
  </si>
  <si>
    <t>https://www.reddit.com/r/RMTK/comments/g9mrib</t>
  </si>
  <si>
    <t>https://www.reddit.com/r/RMTK/comments/gf4gid/m0171_motie_tot_vak_belastingaangifte/</t>
  </si>
  <si>
    <t>https://www.reddit.com/r/RMTK/comments/ghu0dd/m0182_motie_van_wantrouwen_jegens_de_minister_van/</t>
  </si>
  <si>
    <t>https://www.reddit.com/r/RMTK/comments/gkao3p/m0183_motie_tot_kwaliteit_bij_staatsrechtelijke/</t>
  </si>
  <si>
    <t>https://reddit.com/r/RMTK/comments/gi92kk</t>
  </si>
  <si>
    <t>https://reddit.com/r/RMTK/comments/gm7q2f</t>
  </si>
  <si>
    <t>https://reddit.com/r/RMTK/comments/gn9d57</t>
  </si>
  <si>
    <t>https://reddit.com/r/RMTK/comments/gfssqx</t>
  </si>
  <si>
    <t>https://reddit.com/r/RMTK/comments/ggf1z2</t>
  </si>
  <si>
    <t>https://reddit.com/r/RMTK/comments/ghp690</t>
  </si>
  <si>
    <t>ES0001</t>
  </si>
  <si>
    <t>ES0002</t>
  </si>
  <si>
    <t>ES0003</t>
  </si>
  <si>
    <t>ES0004</t>
  </si>
  <si>
    <t>ES0005</t>
  </si>
  <si>
    <t>ES0006</t>
  </si>
  <si>
    <t>ES0007</t>
  </si>
  <si>
    <t>ES0008</t>
  </si>
  <si>
    <t>ES0009</t>
  </si>
  <si>
    <t>ES0010</t>
  </si>
  <si>
    <t>ES0011</t>
  </si>
  <si>
    <t>ES0012</t>
  </si>
  <si>
    <t>ES0013</t>
  </si>
  <si>
    <t>Stemoverzicht
Tweede Kamer 
der Staten-Generaal</t>
  </si>
  <si>
    <t xml:space="preserve">Kabinet-th8
(ACB - 1NL - PPR)
</t>
  </si>
  <si>
    <t>Coalitie
(14)</t>
  </si>
  <si>
    <t>https://www.reddit.com/r/RMTK/comments/e5znmk/w0054_grondwetswijziging_ter/</t>
  </si>
  <si>
    <t>Oppositie
(11)</t>
  </si>
  <si>
    <t>toukiedatak</t>
  </si>
  <si>
    <t>Stemoverzicht
Eerste Kamer 
der Staten-Generaal</t>
  </si>
  <si>
    <t>Coalitie
(3)</t>
  </si>
  <si>
    <t>Oppositie
(3)</t>
  </si>
  <si>
    <t>Coretteket</t>
  </si>
  <si>
    <t>RMTK Parlementaire Agenda</t>
  </si>
  <si>
    <t>Stuk</t>
  </si>
  <si>
    <t xml:space="preserve">Eerste Lezing </t>
  </si>
  <si>
    <t>Opmerkingen</t>
  </si>
  <si>
    <t>Type Stuk</t>
  </si>
  <si>
    <t>Nummer</t>
  </si>
  <si>
    <t>Indiener</t>
  </si>
  <si>
    <t>Begindatum</t>
  </si>
  <si>
    <t>Einddatum</t>
  </si>
  <si>
    <t>M</t>
  </si>
  <si>
    <t>Kamerstuk</t>
  </si>
  <si>
    <t>D</t>
  </si>
  <si>
    <t>Regeerakkoord</t>
  </si>
  <si>
    <t>W</t>
  </si>
  <si>
    <t>W0041-I</t>
  </si>
  <si>
    <t>Amendement Belastingwet Meervoudig Woningbezit</t>
  </si>
  <si>
    <t>Besluit tot invoering W0009</t>
  </si>
  <si>
    <t>Vragenuur</t>
  </si>
  <si>
    <t>W0042-I</t>
  </si>
  <si>
    <t>Amendement Wet tot goedkeuring aankoop vijf F-35A 2019</t>
  </si>
  <si>
    <t>V</t>
  </si>
  <si>
    <t>Debat</t>
  </si>
  <si>
    <t>Debat over de vaccinatiegraad</t>
  </si>
  <si>
    <t>Z</t>
  </si>
  <si>
    <t>Stemmingen</t>
  </si>
  <si>
    <t>Intrekkingswet accijnswet</t>
  </si>
  <si>
    <t>KS0038</t>
  </si>
  <si>
    <t>Kamerbrief aangaande het klimaatplan en de op te richten klimaatplancommissie</t>
  </si>
  <si>
    <t>Kamerbrief aangaande diverse moties betreffende K&amp;N</t>
  </si>
  <si>
    <t>Noodwet stikstofproblematiek</t>
  </si>
  <si>
    <t>Motie tot verlaging van de AOW-leeftijd naar 65 jaar</t>
  </si>
  <si>
    <t>Besluit Sancties Turkije</t>
  </si>
  <si>
    <t>Motie omtrent een bindend correctief referendum</t>
  </si>
  <si>
    <t>Motie tot het maken van een vrije dag van Bevrijdingsdag</t>
  </si>
  <si>
    <t>Motie tot toevoeging telecommunicatiebedrijven van de Volksrepubliek China op de lijst van W0007-I</t>
  </si>
  <si>
    <t>Motie tot de aanpak van intensieve veehouderij</t>
  </si>
  <si>
    <t>Rijksbegroting 2020 - Buitenlandse Zaken</t>
  </si>
  <si>
    <t>Rijksbegroting 2020 - Defensie en Ontwikkelingssamenwerking</t>
  </si>
  <si>
    <t>Sanctiewet Republiek Turkije &amp; Turkse Republiek Noord-Cyprus 2019</t>
  </si>
  <si>
    <t>Motie aangaande het opschorten van het kandidaat-lidmaatschap voor de Europese Unie van de Republiek Turkije</t>
  </si>
  <si>
    <t>Motie tot een totaalverbod op gezichtsherkenningssoftware voor bepaalde doeleinden</t>
  </si>
  <si>
    <t>Besluit houdende intrekking van het besluit tot invoering W0009</t>
  </si>
  <si>
    <t>Wetswijziging tot toestaan polyamorisch huwelijk</t>
  </si>
  <si>
    <t>Intrekkingswetsvoorstel Wetswijzing spoorwegenwet tot deprivatisering van de spoorwegen</t>
  </si>
  <si>
    <t>Sushishine/House_of_Farts</t>
  </si>
  <si>
    <t>Kamerbrief aangaande recentelijk aangenomen moties (0114-0116)</t>
  </si>
  <si>
    <t>Wijziging van de Grondwet vanwege het opheffen van de vrijheid van onderwijs</t>
  </si>
  <si>
    <t>Debat na aanleiding terroristische aanslag op het Binnenhof door radicale Friese separatisten</t>
  </si>
  <si>
    <t>Wetswijziging ter afschaffing van de thuiskopieheffing</t>
  </si>
  <si>
    <t>Kamerbrief over de vorderingen van de klimaatplancommissie</t>
  </si>
  <si>
    <t>Motie tot onderzoek naar gedecentraliseerde data voor gemeenteraadsverkiezingen</t>
  </si>
  <si>
    <t>Kamerbrief ter reactie op aangenomen moties (0117-0121)</t>
  </si>
  <si>
    <t>Motie tot terughalen Irak- en Syriëgangers</t>
  </si>
  <si>
    <t>Wet bestrijding Friese terreur</t>
  </si>
  <si>
    <t>Motie van wantrouwen jegens Kabinet House_of_Farts-I</t>
  </si>
  <si>
    <t>Debat omtrent de aanpak van racisme in Nederland</t>
  </si>
  <si>
    <t>Motie tot opzetten stimuleringsfonds encryptie en betere verankering van encryptie</t>
  </si>
  <si>
    <t>Motie tot verzoek oorlogsverklaring</t>
  </si>
  <si>
    <t>Update van werkzaamheden minister /u/sushishine</t>
  </si>
  <si>
    <t>Besluit ter Verlenging van de Tijdelijke Sanctiewet Saudi-Arabië</t>
  </si>
  <si>
    <t>Motie tot een ruimhartiger asielbeleid aangaande LHBTI'ers</t>
  </si>
  <si>
    <t>Debat over poging tot lynchpartij in Gorinchem</t>
  </si>
  <si>
    <t>Besluit houdende de lijst van digitale apparatuur die een gevaar kunnen zijn voor de nationale veiligheid</t>
  </si>
  <si>
    <t>NOG IN TE PLANNEN KAMERSTUKKEN</t>
  </si>
  <si>
    <t>Motie omtrent het opruimen van korrels van koolstofgranulaat op Schiermonnikoog</t>
  </si>
  <si>
    <t xml:space="preserve">Kabinet-House_of_Farts
(PPR - LL - DA'19)
</t>
  </si>
  <si>
    <t>Coalitie
(10)</t>
  </si>
  <si>
    <t>Alien_Gamer_101</t>
  </si>
  <si>
    <t>https://www.reddit.com/r/RMTK/comments/drl0sa/m0120_motie_tot_de_aanpak_van_intensieve/</t>
  </si>
  <si>
    <t>https://www.reddit.com/r/RMTK/comments/dt2s9z/m0121_motie_aangaande_het_opschorten_van_het/</t>
  </si>
  <si>
    <t>https://www.reddit.com/r/RMTK/comments/ds2nrf/w0046_rijksbegroting_2020_buitenlandse_zaken/</t>
  </si>
  <si>
    <t>https://www.reddit.com/r/RMTK/comments/ds2nu7/w0047_rijksbegroting_2020_defensie_en/</t>
  </si>
  <si>
    <t>https://www.reddit.com/r/RMTK/comments/dtj67r/w0048i_amendement_sanctiewet_republiek_turkije/</t>
  </si>
  <si>
    <t>https://www.reddit.com/r/RMTK/comments/dtjaf2/amendement_sanctiewet_republiek_turkije_turkse/</t>
  </si>
  <si>
    <t>https://www.reddit.com/r/RMTK/comments/duvmyy/m0122_motie_tot_een_totaalverbod_op/</t>
  </si>
  <si>
    <t>https://www.reddit.com/r/RMTK/comments/dvhfjp/w0049_wetswijziging_tot_toestaan_polyamorisch/</t>
  </si>
  <si>
    <t>https://www.reddit.com/r/RMTK/comments/dvxgay/w0050_intrekkingswetsvoorstel_wetswijzing/</t>
  </si>
  <si>
    <t>https://www.reddit.com/r/RMTK/comments/dwce3f/w0051_wijziging_van_de_grondwet_vanwege_het/</t>
  </si>
  <si>
    <t>Oppositie
(15)</t>
  </si>
  <si>
    <t>w</t>
  </si>
  <si>
    <t>Stemoverzicht Eerste Kamer der Staten-Generaal</t>
  </si>
  <si>
    <t>Oppositie
(4)</t>
  </si>
  <si>
    <t>Motie tot het aanpakken van problemen rondom 112 en NL-Alert</t>
  </si>
  <si>
    <t>Debat aangaande storing KPN en noodnummer 112</t>
  </si>
  <si>
    <t>Motie tot uitdelen oordoppen bij festivals</t>
  </si>
  <si>
    <t>Wetswijziging tot aanvulling op de wet nationaal woonplan</t>
  </si>
  <si>
    <t>Week 26</t>
  </si>
  <si>
    <t>Vragenuur Week 26</t>
  </si>
  <si>
    <t>Motie tot opstellen van klimaatnota</t>
  </si>
  <si>
    <t>Debat aangaande de verklaring van het JIT over MH17</t>
  </si>
  <si>
    <t>Kamerbrief aangaande realisatie Nedersaksenlijn</t>
  </si>
  <si>
    <t>Wijziging van het Burgerlijk Wetboek, Boek 1, artikel 5</t>
  </si>
  <si>
    <t>Week 27</t>
  </si>
  <si>
    <t>Vragenuur Week 27</t>
  </si>
  <si>
    <t>Motie uitvoering M0050</t>
  </si>
  <si>
    <t>Debat over de toekomst van de publieke omroep</t>
  </si>
  <si>
    <t>Kamerbrief aangaande Preventie Eikenprocessierups</t>
  </si>
  <si>
    <t>Motie tot onderzoek naar circulair maken bouw</t>
  </si>
  <si>
    <t>Kamerbrief aangaande verzoek aan Permanent Hof van Arbitrage</t>
  </si>
  <si>
    <t>Motie tot versimpeling belastingsysteem</t>
  </si>
  <si>
    <t>W0025-II</t>
  </si>
  <si>
    <t>Koepelwet Kerncentrales (Tweede lezing)</t>
  </si>
  <si>
    <t>Wijziging van het Burgerlijk Wetboek, Boek 1, artikel 28</t>
  </si>
  <si>
    <t>Week 28</t>
  </si>
  <si>
    <t>Vragenuur Week 28</t>
  </si>
  <si>
    <t>Hernieuwde Klimaatwet 2019</t>
  </si>
  <si>
    <t>Debat na aanleiding berichtgeving misstanden binnen de politie</t>
  </si>
  <si>
    <t>Wetsvoorstel tot budgettaire begroting Nedersaksenlijn</t>
  </si>
  <si>
    <t>Motie tot openbaar maken partijlidmaatschap bestuursleden NPO</t>
  </si>
  <si>
    <t>M0083-M0086</t>
  </si>
  <si>
    <t>Motiebundel NPO</t>
  </si>
  <si>
    <t>Motie verduidelijking en samenvoeging regelgeving omtrent extreem warm weer</t>
  </si>
  <si>
    <t>Wet erkenning recht op voltooid leven</t>
  </si>
  <si>
    <t>Week 29</t>
  </si>
  <si>
    <t>Vragenuur Week 29</t>
  </si>
  <si>
    <t>Motie tot verandering regelgeving regeling overheidszaken</t>
  </si>
  <si>
    <t>Debat naar aanleiding verhandeling privégegevens kentekenregister</t>
  </si>
  <si>
    <t>Kamerbrief aangaande de vaccinatiegraad</t>
  </si>
  <si>
    <t>Motie met het verzoek om informatie over Huawei</t>
  </si>
  <si>
    <t>Wet Belasting op grote techbedrijven</t>
  </si>
  <si>
    <t>Motie tot organisatie van een diplomatieke missie tussen Nederland en de Verenigde Staten van Amerika</t>
  </si>
  <si>
    <t>Week 30</t>
  </si>
  <si>
    <t>Vragenuur Week 30</t>
  </si>
  <si>
    <t>Motie tot erkenning van een derde geslacht</t>
  </si>
  <si>
    <t>Debat naar aanleiding van de situatie in Hong Kong</t>
  </si>
  <si>
    <t>Kamerbrief betreft reactie op aangenomen moties K&amp;N</t>
  </si>
  <si>
    <t>Motie tot het creëren van beschutte werkplekken</t>
  </si>
  <si>
    <t>Motie tot verdere privatisering ABN AMRO</t>
  </si>
  <si>
    <t>Week 31</t>
  </si>
  <si>
    <t>Vragenuur Week 31</t>
  </si>
  <si>
    <t>Kamerbrief omtrent discretionaire bevoegdheid voor immigratie</t>
  </si>
  <si>
    <t>Debat naar aanleiding van het rapport van de Onderzoeksraad voor Veiligheid over het voedselveiligheidssysteem in Nederland</t>
  </si>
  <si>
    <t>Kamerbrief aangaande publicatie Rapport Wet nationaal Woonplan</t>
  </si>
  <si>
    <t>Motie vrijgezellenbelasting</t>
  </si>
  <si>
    <t>Dropbox</t>
  </si>
  <si>
    <t>M0095-M0096</t>
  </si>
  <si>
    <t>Motiebundel RDW</t>
  </si>
  <si>
    <t>Week 32</t>
  </si>
  <si>
    <t>Vragenuur Week 32</t>
  </si>
  <si>
    <t>Motie tot evaluatie van energieopslagmethoden</t>
  </si>
  <si>
    <t>Kamerbrief aangaande gegevens rondom incidenten asielzoekers</t>
  </si>
  <si>
    <t>Debat naar aanleiding overlast Amerikaanse rivierkreeft</t>
  </si>
  <si>
    <t>Kamerbrief aangaande het Klimaatjaarverslag</t>
  </si>
  <si>
    <t>Motie tot onderzoek doen naar een gezamenlijk Nederlands-Vlaams OV-netwerk</t>
  </si>
  <si>
    <t>Kamerbrief aangaande aanschaf F-35</t>
  </si>
  <si>
    <t>Week 33</t>
  </si>
  <si>
    <t>Vragenuur Week 33</t>
  </si>
  <si>
    <t>Motie tot reductie verdrinkingsdoden</t>
  </si>
  <si>
    <t>Debat aangaande het creëren en handhaven van vuurwerkvrije zones</t>
  </si>
  <si>
    <t>Kamerbrief aangaande recente zaken Financiën</t>
  </si>
  <si>
    <t>Motie tot creëren vergunning voor bezit meerdere woonhuizen</t>
  </si>
  <si>
    <t>Motie tot boycot van fout vlees en foute soja uit het Amazonegebied</t>
  </si>
  <si>
    <t>Wet ter erkenning van de Nederlandse Gebarentaal</t>
  </si>
  <si>
    <t>Week 34</t>
  </si>
  <si>
    <t>Vragenuur Week 34</t>
  </si>
  <si>
    <t>Wetswijziging Wet op de omzetbelasting 1968</t>
  </si>
  <si>
    <t>Debat aangaande de evenementen in mei 2020</t>
  </si>
  <si>
    <t>Wetsvoorstel tot wijziging van de wet op de accijns</t>
  </si>
  <si>
    <t>Kamerbrief aangaande tweedaags Amerikaans staatsbezoek en NAVO-top in Nederland</t>
  </si>
  <si>
    <t>Motie tot gratis maken OV</t>
  </si>
  <si>
    <t>Koninklijk Besluit aanwijzing natuurramp-gemeenten</t>
  </si>
  <si>
    <t>Motie tot herbenoeming burgemeester van Amsterdam</t>
  </si>
  <si>
    <t>Week 35</t>
  </si>
  <si>
    <t>Vragenuur Week 35</t>
  </si>
  <si>
    <t>Motie ter bevordering van het frysk- en streektalenonderwijs</t>
  </si>
  <si>
    <t>Verantwoordingsdag</t>
  </si>
  <si>
    <t>Kamerbrief aangaande een update van het Klimaatplan</t>
  </si>
  <si>
    <t>Wetsvoorstel Versoepeling Opiumwet</t>
  </si>
  <si>
    <t>MerijnZ1/supertanno</t>
  </si>
  <si>
    <t>M0105-M0106</t>
  </si>
  <si>
    <t>Motiebundel rondom voedselkwaliteit</t>
  </si>
  <si>
    <t>Week 36</t>
  </si>
  <si>
    <t>Vragenuur Week 36</t>
  </si>
  <si>
    <t>Motie tot gelijk visumbeleid door de Verenigde Staten voor alle lidstaten van de Europese Unie</t>
  </si>
  <si>
    <t>Debat over de activiteit van het kabinet en de motiedruk vanuit de kamer</t>
  </si>
  <si>
    <t>Kamerbrief aangaande diverse infrastructurele moties</t>
  </si>
  <si>
    <t>W0039-I</t>
  </si>
  <si>
    <t>Amendement Wetsvoorstel Versoepeling Opiumwet</t>
  </si>
  <si>
    <t>Motie tot gelijkstelling vrijstelling op uitzending militairen</t>
  </si>
  <si>
    <t>Kamerbrief inzake Engels in het basisonderwijs en aansturing decanen voortgezet onderwijs</t>
  </si>
  <si>
    <t>Week 37</t>
  </si>
  <si>
    <t>Vragenuur Week 37</t>
  </si>
  <si>
    <t>Wet register openbare hygiëne- en veiligheidsvoorzieningen</t>
  </si>
  <si>
    <t>123ricardo210/supertanno</t>
  </si>
  <si>
    <t>Debat over de vrijheid van onderwijs</t>
  </si>
  <si>
    <t>Belastingwet Meervoudig Woningbezit</t>
  </si>
  <si>
    <t>Motie tot horeca-dienstplicht</t>
  </si>
  <si>
    <t>Motie tot het stimuleren van de bouw van openbare toiletten</t>
  </si>
  <si>
    <t>Kamerbrief aangaande meerdere kamerstukken en mijn afwezigheid</t>
  </si>
  <si>
    <t>Wet tot goedkeuring aankoop vijf F-35A 2019</t>
  </si>
  <si>
    <t>Week 38</t>
  </si>
  <si>
    <t>Vragenuur Week 38</t>
  </si>
  <si>
    <t>Wijziging Wetboek van Strafrecht Artikel 23</t>
  </si>
  <si>
    <t>Debat over democratische vernieuwing</t>
  </si>
  <si>
    <t>Motie</t>
  </si>
  <si>
    <t>Motie tot het verbieden van het alleen houden van cavia's</t>
  </si>
  <si>
    <t>Wetsvoorstel</t>
  </si>
  <si>
    <t>Kamerbrief</t>
  </si>
  <si>
    <t>Koninklijk Besluit</t>
  </si>
  <si>
    <t>Besluit Invoering W0009: Wetswijziging Spoorwegenwet tot deprivatisering van de spoorwegen</t>
  </si>
  <si>
    <t>Amendement</t>
  </si>
  <si>
    <t xml:space="preserve">Kabinet-7Hielke
(SP - DA'19 - B-RV - ALFUS)
</t>
  </si>
  <si>
    <t>Coalitie
(17)</t>
  </si>
  <si>
    <t xml:space="preserve">Dutchy54       </t>
  </si>
  <si>
    <t>ethiowolf</t>
  </si>
  <si>
    <t xml:space="preserve">SimonScalary       </t>
  </si>
  <si>
    <t>Oppositie
(8)</t>
  </si>
  <si>
    <t>therealjansanano</t>
  </si>
  <si>
    <t xml:space="preserve">Kabinet-HiddeVdV96
(DA'19-LPU)
</t>
  </si>
  <si>
    <t xml:space="preserve">Kabinet-Der_Kohl II
(DA'19-SP)
</t>
  </si>
  <si>
    <t xml:space="preserve">minethestickman       </t>
  </si>
  <si>
    <t xml:space="preserve">HiddeVdV96       </t>
  </si>
  <si>
    <t xml:space="preserve">sottof       </t>
  </si>
  <si>
    <t xml:space="preserve">     Stemoverzicht Tweede Kamer der Staten-Generaal</t>
  </si>
  <si>
    <t xml:space="preserve">Kabinet-Der_Kohl
(DA'19-PGV-SDC-STR)
</t>
  </si>
  <si>
    <t>Coalitie
(19)</t>
  </si>
  <si>
    <t>Oppositie
(16)</t>
  </si>
  <si>
    <t>DolfdeKraai/Blackdutchie</t>
  </si>
  <si>
    <t>Coalitie
(4)</t>
  </si>
  <si>
    <t xml:space="preserve">RkRs21              </t>
  </si>
  <si>
    <t>Oppositie
(5)</t>
  </si>
  <si>
    <t xml:space="preserve">Kabinet-graansmoothie
(PGV-SDC-SP-MBE)
</t>
  </si>
  <si>
    <t>Coalitie
(18)</t>
  </si>
  <si>
    <t xml:space="preserve">Yeblured        </t>
  </si>
  <si>
    <t xml:space="preserve">MeisterMees        </t>
  </si>
  <si>
    <t>Oppositie
(17)</t>
  </si>
  <si>
    <t>Oppositie
(6)</t>
  </si>
  <si>
    <t>Oestersaus</t>
  </si>
</sst>
</file>

<file path=xl/styles.xml><?xml version="1.0" encoding="utf-8"?>
<styleSheet xmlns="http://schemas.openxmlformats.org/spreadsheetml/2006/main" xmlns:x14ac="http://schemas.microsoft.com/office/spreadsheetml/2009/9/ac" xmlns:mc="http://schemas.openxmlformats.org/markup-compatibility/2006">
  <numFmts count="7">
    <numFmt numFmtId="164" formatCode="mmm d"/>
    <numFmt numFmtId="165" formatCode="mmmm. d"/>
    <numFmt numFmtId="166" formatCode="mmm&quot;. &quot;d"/>
    <numFmt numFmtId="167" formatCode="mmmm yyyy"/>
    <numFmt numFmtId="168" formatCode="mmm yyyy"/>
    <numFmt numFmtId="169" formatCode="[$€-2]\ #,##0.00"/>
    <numFmt numFmtId="170" formatCode="dd-mm-yyyy"/>
  </numFmts>
  <fonts count="478">
    <font>
      <sz val="10.0"/>
      <color rgb="FF000000"/>
      <name val="Arial"/>
    </font>
    <font>
      <b/>
      <color rgb="FF000000"/>
      <name val="Lato"/>
    </font>
    <font>
      <b/>
      <sz val="36.0"/>
      <color rgb="FFFFFFFF"/>
      <name val="Lato"/>
    </font>
    <font/>
    <font>
      <b/>
      <sz val="14.0"/>
      <color rgb="FFFFFFFF"/>
      <name val="Lato"/>
    </font>
    <font>
      <b/>
      <sz val="13.0"/>
      <color rgb="FFFFFFFF"/>
      <name val="Lato"/>
    </font>
    <font>
      <b/>
      <sz val="12.0"/>
      <color theme="1"/>
      <name val="Lato"/>
    </font>
    <font>
      <b/>
      <u/>
      <sz val="11.0"/>
      <color rgb="FF1155CC"/>
      <name val="Lato"/>
    </font>
    <font>
      <b/>
      <u/>
      <sz val="11.0"/>
      <color rgb="FF1155CC"/>
      <name val="Lato"/>
    </font>
    <font>
      <color rgb="FFFFFFFF"/>
      <name val="Lato"/>
    </font>
    <font>
      <b/>
      <sz val="10.0"/>
      <color rgb="FFFFFFFF"/>
      <name val="Lato"/>
    </font>
    <font>
      <sz val="12.0"/>
      <color rgb="FF000000"/>
      <name val="Lato"/>
    </font>
    <font>
      <b/>
      <sz val="11.0"/>
      <color rgb="FF1155CC"/>
      <name val="Lato"/>
    </font>
    <font>
      <color theme="1"/>
      <name val="Lato"/>
    </font>
    <font>
      <sz val="11.0"/>
      <color theme="1"/>
      <name val="Lato"/>
    </font>
    <font>
      <b/>
      <u/>
      <sz val="12.0"/>
      <color rgb="FF1155CC"/>
      <name val="Lato"/>
    </font>
    <font>
      <b/>
      <u/>
      <sz val="12.0"/>
      <color rgb="FF1155CC"/>
      <name val="Lato"/>
    </font>
    <font>
      <b/>
      <sz val="14.0"/>
      <color rgb="FF000000"/>
      <name val="Lato"/>
    </font>
    <font>
      <b/>
      <sz val="11.0"/>
      <color rgb="FF000000"/>
      <name val="Lato"/>
    </font>
    <font>
      <b/>
      <sz val="12.0"/>
      <color rgb="FF000000"/>
      <name val="Lato"/>
    </font>
    <font>
      <b/>
      <sz val="14.0"/>
      <color rgb="FFDE0000"/>
      <name val="Lato"/>
    </font>
    <font>
      <b/>
      <sz val="14.0"/>
      <color rgb="FFF1C232"/>
      <name val="Lato"/>
    </font>
    <font>
      <b/>
      <sz val="11.0"/>
      <color rgb="FFF1C232"/>
      <name val="Lato"/>
    </font>
    <font>
      <b/>
      <sz val="14.0"/>
      <color rgb="FFFF9900"/>
      <name val="Lato"/>
    </font>
    <font>
      <b/>
      <sz val="11.0"/>
      <color rgb="FFFF9900"/>
      <name val="Lato"/>
    </font>
    <font>
      <b/>
      <sz val="12.0"/>
      <color rgb="FF000000"/>
      <name val="Arial"/>
    </font>
    <font>
      <b/>
      <sz val="12.0"/>
      <color rgb="FFFFFFFF"/>
      <name val="Lato"/>
    </font>
    <font>
      <b/>
      <u/>
      <sz val="12.0"/>
      <color rgb="FF1155CC"/>
      <name val="Lato"/>
    </font>
    <font>
      <b/>
      <sz val="14.0"/>
      <color rgb="FF990000"/>
      <name val="Lato"/>
    </font>
    <font>
      <b/>
      <sz val="11.0"/>
      <color rgb="FFFFFFFF"/>
      <name val="Lato"/>
    </font>
    <font>
      <i/>
      <u/>
      <sz val="12.0"/>
      <color rgb="FF1155CC"/>
      <name val="Lato"/>
    </font>
    <font>
      <b/>
      <i/>
      <u/>
      <sz val="12.0"/>
      <color rgb="FF1155CC"/>
      <name val="Lato"/>
    </font>
    <font>
      <b/>
      <sz val="7.0"/>
      <color rgb="FF990000"/>
      <name val="Lato"/>
    </font>
    <font>
      <b/>
      <u/>
      <sz val="11.0"/>
      <color rgb="FF1155CC"/>
      <name val="Lato"/>
    </font>
    <font>
      <b/>
      <u/>
      <sz val="12.0"/>
      <color rgb="FF1155CC"/>
      <name val="Lato"/>
    </font>
    <font>
      <b/>
      <u/>
      <sz val="12.0"/>
      <color rgb="FF1155CC"/>
      <name val="Lato"/>
    </font>
    <font>
      <b/>
      <u/>
      <sz val="13.0"/>
      <color rgb="FF1155CC"/>
      <name val="Lato"/>
    </font>
    <font>
      <b/>
      <sz val="13.0"/>
      <color rgb="FF000000"/>
      <name val="Lato"/>
    </font>
    <font>
      <b/>
      <u/>
      <sz val="18.0"/>
      <color rgb="FF1155CC"/>
      <name val="Lato"/>
    </font>
    <font>
      <color theme="1"/>
      <name val="Calibri"/>
    </font>
    <font>
      <b/>
      <u/>
      <sz val="12.0"/>
      <color rgb="FFFD6C58"/>
      <name val="Lato"/>
    </font>
    <font>
      <b/>
      <sz val="18.0"/>
      <color theme="1"/>
      <name val="Lato"/>
    </font>
    <font>
      <b/>
      <u/>
      <sz val="12.0"/>
      <color rgb="FF1155CC"/>
      <name val="Lato"/>
    </font>
    <font>
      <b/>
      <u/>
      <sz val="12.0"/>
      <color rgb="FF008000"/>
      <name val="Lato"/>
    </font>
    <font>
      <b/>
      <u/>
      <sz val="18.0"/>
      <color rgb="FF1155CC"/>
      <name val="Lato"/>
    </font>
    <font>
      <b/>
      <u/>
      <sz val="18.0"/>
      <color rgb="FF0000FF"/>
      <name val="Lato"/>
    </font>
    <font>
      <b/>
      <u/>
      <sz val="18.0"/>
      <color rgb="FF1155CC"/>
      <name val="Lato"/>
    </font>
    <font>
      <b/>
      <u/>
      <sz val="12.0"/>
      <color rgb="FF1155CC"/>
      <name val="Lato"/>
    </font>
    <font>
      <i/>
      <sz val="7.0"/>
      <color rgb="FF000000"/>
      <name val="Lato"/>
    </font>
    <font>
      <b/>
      <sz val="16.0"/>
      <color rgb="FFFFFFFF"/>
      <name val="Lato"/>
    </font>
    <font>
      <b/>
      <u/>
      <sz val="12.0"/>
      <color rgb="FFFFFFFF"/>
      <name val="Lato"/>
    </font>
    <font>
      <b/>
      <u/>
      <sz val="12.0"/>
      <color rgb="FFFFFFFF"/>
      <name val="Lato"/>
    </font>
    <font>
      <b/>
      <u/>
      <sz val="12.0"/>
      <color rgb="FFFFFFFF"/>
      <name val="Lato"/>
    </font>
    <font>
      <b/>
      <u/>
      <sz val="12.0"/>
      <color rgb="FFFFFFFF"/>
      <name val="Lato"/>
    </font>
    <font>
      <b/>
      <u/>
      <sz val="12.0"/>
      <color rgb="FFFFFFFF"/>
      <name val="Lato"/>
    </font>
    <font>
      <b/>
      <u/>
      <sz val="12.0"/>
      <color rgb="FFFFFFFF"/>
      <name val="Lato"/>
    </font>
    <font>
      <sz val="11.0"/>
      <color rgb="FFFFFFFF"/>
      <name val="Lato"/>
    </font>
    <font>
      <sz val="11.0"/>
      <color rgb="FFFF9900"/>
      <name val="Lato"/>
    </font>
    <font>
      <u/>
      <sz val="10.0"/>
      <color rgb="FF666666"/>
      <name val="Lato"/>
    </font>
    <font>
      <u/>
      <sz val="10.0"/>
      <color rgb="FF666666"/>
      <name val="Lato"/>
    </font>
    <font>
      <sz val="10.0"/>
      <color rgb="FF666666"/>
      <name val="Lato"/>
    </font>
    <font>
      <sz val="11.0"/>
      <color rgb="FF000000"/>
      <name val="Lato"/>
    </font>
    <font>
      <sz val="11.0"/>
      <color rgb="FFF1C232"/>
      <name val="Lato"/>
    </font>
    <font>
      <color rgb="FF666666"/>
      <name val="Lato"/>
    </font>
    <font>
      <b/>
      <sz val="11.0"/>
      <color theme="1"/>
      <name val="Lato"/>
    </font>
    <font>
      <b/>
      <sz val="10.0"/>
      <color theme="1"/>
      <name val="Lato"/>
    </font>
    <font>
      <b/>
      <sz val="11.0"/>
      <color rgb="FFC53929"/>
      <name val="Lato"/>
    </font>
    <font>
      <b/>
      <sz val="10.0"/>
      <color rgb="FFC53929"/>
      <name val="Lato"/>
    </font>
    <font>
      <sz val="11.0"/>
      <color rgb="FF7E3794"/>
      <name val="Lato"/>
    </font>
    <font>
      <b/>
      <u/>
      <sz val="12.0"/>
      <color rgb="FFFFFFFF"/>
      <name val="Lato"/>
    </font>
    <font>
      <b/>
      <u/>
      <sz val="12.0"/>
      <color rgb="FFFFFFFF"/>
      <name val="Lato"/>
    </font>
    <font>
      <b/>
      <u/>
      <sz val="12.0"/>
      <color rgb="FFFFFFFF"/>
      <name val="Lato"/>
    </font>
    <font>
      <b/>
      <u/>
      <sz val="12.0"/>
      <color rgb="FFFFFFFF"/>
      <name val="Lato"/>
    </font>
    <font>
      <b/>
      <u/>
      <sz val="12.0"/>
      <color rgb="FFFFFFFF"/>
      <name val="Lato"/>
    </font>
    <font>
      <b/>
      <u/>
      <sz val="12.0"/>
      <color rgb="FFFFFFFF"/>
      <name val="Lato"/>
    </font>
    <font>
      <b/>
      <u/>
      <sz val="12.0"/>
      <color rgb="FFFFFFFF"/>
      <name val="Lato"/>
    </font>
    <font>
      <b/>
      <u/>
      <sz val="12.0"/>
      <color rgb="FFFFFFFF"/>
      <name val="Lato"/>
    </font>
    <font>
      <b/>
      <u/>
      <sz val="12.0"/>
      <color rgb="FFFFFFFF"/>
      <name val="Lato"/>
    </font>
    <font>
      <b/>
      <u/>
      <sz val="12.0"/>
      <color rgb="FFFFFFFF"/>
      <name val="Lato"/>
    </font>
    <font>
      <b/>
      <u/>
      <sz val="12.0"/>
      <color rgb="FFFFFFFF"/>
      <name val="Lato"/>
    </font>
    <font>
      <b/>
      <color rgb="FFC53929"/>
      <name val="Lato"/>
    </font>
    <font>
      <b/>
      <color theme="1"/>
      <name val="Lato"/>
    </font>
    <font>
      <u/>
      <color rgb="FF666666"/>
      <name val="Lato"/>
    </font>
    <font>
      <u/>
      <color rgb="FF666666"/>
      <name val="Lato"/>
    </font>
    <font>
      <sz val="11.0"/>
      <color rgb="FF7E3794"/>
      <name val="Roboto"/>
    </font>
    <font>
      <b/>
      <sz val="18.0"/>
      <color rgb="FFFFFFFF"/>
      <name val="Lato"/>
    </font>
    <font>
      <b/>
      <sz val="18.0"/>
      <color rgb="FF000000"/>
      <name val="Lato"/>
    </font>
    <font>
      <b/>
      <sz val="18.0"/>
      <color rgb="FFF1C232"/>
      <name val="Lato"/>
    </font>
    <font>
      <b/>
      <sz val="10.0"/>
      <color rgb="FF000000"/>
      <name val="Lato"/>
    </font>
    <font>
      <b/>
      <sz val="10.0"/>
      <color rgb="FFF1C232"/>
      <name val="Lato"/>
    </font>
    <font>
      <sz val="10.0"/>
      <color rgb="FFFFFFFF"/>
      <name val="Lato"/>
    </font>
    <font>
      <sz val="10.0"/>
      <color rgb="FF000000"/>
      <name val="Lato"/>
    </font>
    <font>
      <sz val="10.0"/>
      <color rgb="FFF1C232"/>
      <name val="Lato"/>
    </font>
    <font>
      <color rgb="FF000000"/>
      <name val="Arial"/>
    </font>
    <font>
      <i/>
      <sz val="10.0"/>
      <color rgb="FFFFFFFF"/>
      <name val="Lato"/>
    </font>
    <font>
      <b/>
      <sz val="18.0"/>
      <color rgb="FFFF9900"/>
      <name val="Lato"/>
    </font>
    <font>
      <b/>
      <sz val="10.0"/>
      <color rgb="FFFF9900"/>
      <name val="Lato"/>
    </font>
    <font>
      <b/>
      <color rgb="FFFFFFFF"/>
      <name val="Lato"/>
    </font>
    <font>
      <sz val="10.0"/>
      <color rgb="FFFF9900"/>
      <name val="Lato"/>
    </font>
    <font>
      <b/>
      <i/>
      <sz val="15.0"/>
      <color rgb="FFFFFFFF"/>
      <name val="Lato"/>
    </font>
    <font>
      <strike/>
      <color rgb="FF0000FF"/>
      <name val="Lato"/>
    </font>
    <font>
      <b/>
      <u/>
      <color rgb="FF0000FF"/>
      <name val="Lato"/>
    </font>
    <font>
      <b/>
      <u/>
      <color rgb="FF0000FF"/>
      <name val="Lato"/>
    </font>
    <font>
      <u/>
      <color rgb="FF0000FF"/>
      <name val="Lato"/>
    </font>
    <font>
      <u/>
      <color rgb="FF0000FF"/>
      <name val="Lato"/>
    </font>
    <font>
      <b/>
      <color rgb="FFF1C232"/>
      <name val="Lato"/>
    </font>
    <font>
      <b/>
      <sz val="9.0"/>
      <color theme="1"/>
      <name val="Lato"/>
    </font>
    <font>
      <b/>
      <sz val="10.0"/>
      <color rgb="FFFD8C24"/>
      <name val="Lato"/>
    </font>
    <font>
      <b/>
      <u/>
      <color rgb="FF0000FF"/>
      <name val="Lato"/>
    </font>
    <font>
      <u/>
      <color rgb="FF0000FF"/>
      <name val="Lato"/>
    </font>
    <font>
      <b/>
      <u/>
      <color rgb="FF0000FF"/>
      <name val="Lato"/>
    </font>
    <font>
      <b/>
      <u/>
      <color rgb="FF0000FF"/>
      <name val="Lato"/>
    </font>
    <font>
      <b/>
      <u/>
      <color rgb="FF0000FF"/>
      <name val="Lato"/>
    </font>
    <font>
      <b/>
      <sz val="10.0"/>
      <color rgb="FFFFD966"/>
      <name val="Lato"/>
    </font>
    <font>
      <b/>
      <u/>
      <color rgb="FFFFFFFF"/>
      <name val="Lato"/>
    </font>
    <font>
      <b/>
      <sz val="10.0"/>
      <color rgb="FFFFEA00"/>
      <name val="Lato"/>
    </font>
    <font>
      <b/>
      <strike/>
      <u/>
      <color rgb="FF0000FF"/>
      <name val="Lato"/>
    </font>
    <font>
      <strike/>
      <u/>
      <color rgb="FF0000FF"/>
      <name val="Lato"/>
    </font>
    <font>
      <b/>
      <u/>
      <color rgb="FFFFFFFF"/>
      <name val="Lato"/>
    </font>
    <font>
      <u/>
      <color rgb="FF0000FF"/>
      <name val="Lato"/>
    </font>
    <font>
      <b/>
      <strike/>
      <u/>
      <color rgb="FF0000FF"/>
      <name val="Lato"/>
    </font>
    <font>
      <u/>
      <color rgb="FF0000FF"/>
      <name val="Lato"/>
    </font>
    <font>
      <b/>
      <sz val="10.0"/>
      <color rgb="FF00A651"/>
      <name val="Lato"/>
    </font>
    <font>
      <u/>
      <color rgb="FF0000FF"/>
      <name val="Lato"/>
    </font>
    <font>
      <b/>
      <u/>
      <color rgb="FF0000FF"/>
      <name val="Lato"/>
    </font>
    <font>
      <b/>
      <u/>
      <color rgb="FF0000FF"/>
      <name val="Lato"/>
    </font>
    <font>
      <b/>
      <u/>
      <color rgb="FF1155CC"/>
      <name val="Lato"/>
    </font>
    <font>
      <b/>
      <u/>
      <color rgb="FF000000"/>
      <name val="Lato"/>
    </font>
    <font>
      <u/>
      <sz val="10.0"/>
      <color rgb="FF0000FF"/>
      <name val="Lato"/>
    </font>
    <font>
      <u/>
      <sz val="10.0"/>
      <color rgb="FF0000FF"/>
      <name val="Lato"/>
    </font>
    <font>
      <strike/>
      <u/>
      <sz val="10.0"/>
      <color rgb="FF0000FF"/>
      <name val="Lato"/>
    </font>
    <font>
      <b/>
      <u/>
      <sz val="10.0"/>
      <color rgb="FF0000FF"/>
      <name val="Lato"/>
    </font>
    <font>
      <u/>
      <sz val="10.0"/>
      <color rgb="FF1155CC"/>
      <name val="Lato"/>
    </font>
    <font>
      <u/>
      <color rgb="FF1155CC"/>
      <name val="Lato"/>
    </font>
    <font>
      <u/>
      <sz val="10.0"/>
      <color rgb="FF1155CC"/>
      <name val="Lato"/>
    </font>
    <font>
      <b/>
      <u/>
      <color rgb="FFFFFFFF"/>
      <name val="Lato"/>
    </font>
    <font>
      <b/>
      <u/>
      <sz val="10.0"/>
      <color rgb="FF1155CC"/>
      <name val="Lato"/>
    </font>
    <font>
      <u/>
      <sz val="10.0"/>
      <color rgb="FF1155CC"/>
      <name val="Lato"/>
    </font>
    <font>
      <u/>
      <sz val="10.0"/>
      <color rgb="FF0000FF"/>
      <name val="Lato"/>
    </font>
    <font>
      <u/>
      <sz val="10.0"/>
      <color rgb="FF1155CC"/>
      <name val="Lato"/>
    </font>
    <font>
      <u/>
      <color rgb="FF0000FF"/>
      <name val="Lato"/>
    </font>
    <font>
      <u/>
      <color rgb="FF0000FF"/>
      <name val="Lato"/>
    </font>
    <font>
      <b/>
      <u/>
      <color rgb="FF0000FF"/>
      <name val="Lato"/>
    </font>
    <font>
      <u/>
      <color rgb="FF0000FF"/>
      <name val="Lato"/>
    </font>
    <font>
      <u/>
      <color rgb="FF0000FF"/>
      <name val="Lato"/>
    </font>
    <font>
      <sz val="10.0"/>
      <color rgb="FF0000FF"/>
      <name val="Lato"/>
    </font>
    <font>
      <sz val="10.0"/>
      <color theme="1"/>
      <name val="Lato"/>
    </font>
    <font>
      <b/>
      <sz val="10.0"/>
      <name val="Lato"/>
    </font>
    <font>
      <u/>
      <color rgb="FF0000FF"/>
    </font>
    <font>
      <u/>
      <color rgb="FF0000FF"/>
      <name val="Lato"/>
    </font>
    <font>
      <u/>
      <color rgb="FF0000FF"/>
      <name val="Lato"/>
    </font>
    <font>
      <b/>
      <u/>
      <color rgb="FF0000FF"/>
      <name val="Lato"/>
    </font>
    <font>
      <u/>
      <color rgb="FF1155CC"/>
      <name val="Lato"/>
    </font>
    <font>
      <u/>
      <color rgb="FF0000FF"/>
      <name val="Lato"/>
    </font>
    <font>
      <u/>
      <color rgb="FF0000FF"/>
      <name val="Lato"/>
    </font>
    <font>
      <b/>
      <u/>
      <color rgb="FF0000FF"/>
      <name val="Lato"/>
    </font>
    <font>
      <b/>
      <u/>
      <color rgb="FF0000FF"/>
      <name val="Lato"/>
    </font>
    <font>
      <b/>
      <u/>
      <color rgb="FF0000FF"/>
      <name val="Lato"/>
    </font>
    <font>
      <b/>
      <u/>
      <color rgb="FF1155CC"/>
      <name val="Lato"/>
    </font>
    <font>
      <strike/>
      <u/>
      <color rgb="FF0000FF"/>
      <name val="Lato"/>
    </font>
    <font>
      <b/>
      <u/>
      <color rgb="FF1155CC"/>
      <name val="Lato"/>
    </font>
    <font>
      <u/>
      <color rgb="FF0000FF"/>
      <name val="Lato"/>
    </font>
    <font>
      <u/>
      <color rgb="FF0000FF"/>
      <name val="Lato"/>
    </font>
    <font>
      <b/>
      <u/>
      <color rgb="FF0000FF"/>
      <name val="Lato"/>
    </font>
    <font>
      <b/>
      <u/>
      <color rgb="FF0000FF"/>
      <name val="Lato"/>
    </font>
    <font>
      <u/>
      <color rgb="FF0000FF"/>
      <name val="Lato"/>
    </font>
    <font>
      <u/>
      <color rgb="FF0000FF"/>
      <name val="Lato"/>
    </font>
    <font>
      <u/>
      <color rgb="FF0000FF"/>
      <name val="Lato"/>
    </font>
    <font>
      <u/>
      <color rgb="FF0000FF"/>
      <name val="Lato"/>
    </font>
    <font>
      <u/>
      <color rgb="FF0000FF"/>
      <name val="Lato"/>
    </font>
    <font>
      <u/>
      <color rgb="FF0000FF"/>
      <name val="Lato"/>
    </font>
    <font>
      <u/>
      <sz val="9.0"/>
      <color rgb="FF0000FF"/>
      <name val="Lato"/>
    </font>
    <font>
      <u/>
      <sz val="11.0"/>
      <color rgb="FF0000FF"/>
      <name val="Lato"/>
    </font>
    <font>
      <u/>
      <color rgb="FF0000FF"/>
      <name val="Lato"/>
    </font>
    <font>
      <strike/>
      <u/>
      <color rgb="FF0000FF"/>
      <name val="Lato"/>
    </font>
    <font>
      <sz val="11.0"/>
      <color theme="1"/>
      <name val="Roboto"/>
    </font>
    <font>
      <b/>
      <sz val="10.0"/>
      <color theme="1"/>
      <name val="Roboto"/>
    </font>
    <font>
      <sz val="10.0"/>
      <color theme="1"/>
      <name val="Roboto"/>
    </font>
    <font>
      <u/>
      <color rgb="FF0000FF"/>
    </font>
    <font>
      <u/>
      <color rgb="FF0000FF"/>
    </font>
    <font>
      <u/>
      <color rgb="FF0000FF"/>
      <name val="Lato"/>
    </font>
    <font>
      <u/>
      <color rgb="FF0000FF"/>
      <name val="Lato"/>
    </font>
    <font>
      <u/>
      <color rgb="FF0000FF"/>
    </font>
    <font>
      <color theme="1"/>
      <name val="Roboto"/>
    </font>
    <font>
      <b/>
      <name val="Lato"/>
    </font>
    <font>
      <u/>
      <color rgb="FF0000FF"/>
      <name val="Lato"/>
    </font>
    <font>
      <color rgb="FF0000FF"/>
      <name val="Lato"/>
    </font>
    <font>
      <u/>
      <color rgb="FF0000FF"/>
      <name val="Lato"/>
    </font>
    <font>
      <u/>
      <color rgb="FF0000FF"/>
      <name val="Lato"/>
    </font>
    <font>
      <u/>
      <color rgb="FF0000FF"/>
      <name val="Lato"/>
    </font>
    <font>
      <u/>
      <sz val="10.0"/>
      <color rgb="FF0000FF"/>
      <name val="Lato"/>
    </font>
    <font>
      <b/>
      <u/>
      <color rgb="FF0000FF"/>
      <name val="Lato"/>
    </font>
    <font>
      <u/>
      <color rgb="FF0000FF"/>
      <name val="Lato"/>
    </font>
    <font>
      <u/>
      <color rgb="FF0000FF"/>
      <name val="Lato"/>
    </font>
    <font>
      <u/>
      <color rgb="FF0000FF"/>
      <name val="Lato"/>
    </font>
    <font>
      <u/>
      <color rgb="FF0000FF"/>
      <name val="Lato"/>
    </font>
    <font>
      <u/>
      <color rgb="FF0000FF"/>
      <name val="Lato"/>
    </font>
    <font>
      <u/>
      <color rgb="FF0000FF"/>
      <name val="Lato"/>
    </font>
    <font>
      <u/>
      <sz val="10.0"/>
      <color rgb="FF0000FF"/>
      <name val="Lato"/>
    </font>
    <font>
      <b/>
      <u/>
      <color rgb="FF0000FF"/>
      <name val="Lato"/>
    </font>
    <font>
      <u/>
      <color rgb="FF0000FF"/>
      <name val="Lato"/>
    </font>
    <font>
      <b/>
      <sz val="11.0"/>
      <color rgb="FFFFFFFF"/>
      <name val="Roboto"/>
    </font>
    <font>
      <b/>
      <u/>
      <color rgb="FF0000FF"/>
    </font>
    <font>
      <b/>
      <u/>
      <color rgb="FF0000FF"/>
      <name val="Lato"/>
    </font>
    <font>
      <b/>
      <u/>
      <color rgb="FF0000FF"/>
      <name val="Roboto"/>
    </font>
    <font>
      <u/>
      <color rgb="FF0000FF"/>
      <name val="Lato"/>
    </font>
    <font>
      <b/>
      <sz val="11.0"/>
      <color rgb="FFFFFFFF"/>
      <name val="Arial"/>
    </font>
    <font>
      <b/>
      <color theme="1"/>
      <name val="Arial"/>
    </font>
    <font>
      <b/>
      <color rgb="FFFFFFFF"/>
      <name val="Arial"/>
    </font>
    <font>
      <u/>
      <color rgb="FF0000FF"/>
      <name val="Arial"/>
    </font>
    <font>
      <u/>
      <color rgb="FF0000FF"/>
      <name val="Arial"/>
    </font>
    <font>
      <u/>
      <color rgb="FF0000FF"/>
      <name val="Arial"/>
    </font>
    <font>
      <b/>
      <sz val="10.0"/>
      <name val="Roboto"/>
    </font>
    <font>
      <u/>
      <color rgb="FF0000FF"/>
    </font>
    <font>
      <sz val="10.0"/>
      <name val="Roboto"/>
    </font>
    <font>
      <b/>
      <i/>
      <sz val="15.0"/>
      <color rgb="FFFFFFFF"/>
      <name val="Roboto"/>
    </font>
    <font>
      <sz val="15.0"/>
      <color theme="1"/>
      <name val="Roboto"/>
    </font>
    <font>
      <b/>
      <sz val="15.0"/>
      <color rgb="FFFFFFFF"/>
      <name val="Roboto"/>
    </font>
    <font>
      <sz val="11.0"/>
      <color rgb="FFFFFFFF"/>
      <name val="Roboto"/>
    </font>
    <font>
      <b/>
      <sz val="11.0"/>
      <color theme="1"/>
      <name val="Roboto"/>
    </font>
    <font>
      <u/>
      <sz val="10.0"/>
      <color rgb="FF0000FF"/>
      <name val="Lato"/>
    </font>
    <font>
      <b/>
      <sz val="10.0"/>
      <color rgb="FF000000"/>
      <name val="Roboto"/>
    </font>
    <font>
      <b/>
      <sz val="10.0"/>
      <color rgb="FFF1C232"/>
      <name val="Roboto"/>
    </font>
    <font>
      <u/>
      <sz val="10.0"/>
      <color rgb="FF0000FF"/>
      <name val="Lato"/>
    </font>
    <font>
      <u/>
      <sz val="10.0"/>
      <color rgb="FF0000FF"/>
      <name val="Lato"/>
    </font>
    <font>
      <b/>
      <sz val="10.0"/>
      <color rgb="FFFFFFFF"/>
      <name val="Roboto"/>
    </font>
    <font>
      <b/>
      <sz val="10.0"/>
      <color rgb="FFFFEA00"/>
      <name val="Roboto"/>
    </font>
    <font>
      <b/>
      <sz val="10.0"/>
      <color rgb="FFFFD966"/>
      <name val="Roboto"/>
    </font>
    <font>
      <u/>
      <sz val="10.0"/>
      <color rgb="FF0000FF"/>
      <name val="Lato"/>
    </font>
    <font>
      <b/>
      <u/>
      <sz val="10.0"/>
      <color rgb="FF0000FF"/>
      <name val="Lato"/>
    </font>
    <font>
      <u/>
      <sz val="10.0"/>
      <color rgb="FF0000FF"/>
      <name val="Lato"/>
    </font>
    <font>
      <b/>
      <sz val="10.0"/>
      <color rgb="FF00A651"/>
      <name val="Roboto"/>
    </font>
    <font>
      <b/>
      <sz val="10.0"/>
      <color rgb="FFFF9900"/>
      <name val="Roboto"/>
    </font>
    <font>
      <strike/>
      <u/>
      <sz val="10.0"/>
      <color rgb="FF0000FF"/>
      <name val="Lato"/>
    </font>
    <font>
      <u/>
      <sz val="10.0"/>
      <color rgb="FF0000FF"/>
      <name val="Lato"/>
    </font>
    <font>
      <b/>
      <u/>
      <color rgb="FF0000FF"/>
      <name val="Lato"/>
    </font>
    <font>
      <strike/>
      <u/>
      <color rgb="FF1155CC"/>
      <name val="Lato"/>
    </font>
    <font>
      <b/>
      <sz val="33.0"/>
      <color rgb="FFFFFFFF"/>
      <name val="Lato"/>
    </font>
    <font>
      <b/>
      <sz val="13.0"/>
      <color theme="1"/>
      <name val="Lato"/>
    </font>
    <font>
      <b/>
      <sz val="14.0"/>
      <color theme="1"/>
      <name val="Lato"/>
    </font>
    <font>
      <b/>
      <color rgb="FFFFD966"/>
      <name val="Lato"/>
    </font>
    <font>
      <b/>
      <sz val="10.0"/>
      <color rgb="FF990000"/>
      <name val="Lato"/>
    </font>
    <font>
      <b/>
      <sz val="10.0"/>
      <color rgb="FF38761D"/>
      <name val="Lato"/>
    </font>
    <font>
      <b/>
      <sz val="11.0"/>
      <color rgb="FF990000"/>
      <name val="Lato"/>
    </font>
    <font>
      <b/>
      <sz val="11.0"/>
      <color rgb="FF38761D"/>
      <name val="Lato"/>
    </font>
    <font>
      <b/>
      <sz val="11.0"/>
      <color rgb="FF00A651"/>
      <name val="Lato"/>
    </font>
    <font>
      <b/>
      <sz val="11.0"/>
      <color rgb="FFFFD966"/>
      <name val="Lato"/>
    </font>
    <font>
      <b/>
      <sz val="11.0"/>
      <color rgb="FFFF0000"/>
      <name val="Lato"/>
    </font>
    <font>
      <b/>
      <i/>
      <sz val="11.0"/>
      <color rgb="FFFFFFFF"/>
      <name val="Lato"/>
    </font>
    <font>
      <b/>
      <sz val="11.0"/>
      <color rgb="FFCC0000"/>
      <name val="Lato"/>
    </font>
    <font>
      <b/>
      <sz val="12.0"/>
      <color rgb="FFF1C232"/>
      <name val="Lato"/>
    </font>
    <font>
      <i/>
      <sz val="11.0"/>
      <color theme="1"/>
      <name val="Lato"/>
    </font>
    <font>
      <b/>
      <sz val="12.0"/>
      <color rgb="FFFF9900"/>
      <name val="Lato"/>
    </font>
    <font>
      <b/>
      <sz val="9.0"/>
      <color rgb="FFFFFFFF"/>
      <name val="Lato"/>
    </font>
    <font>
      <b/>
      <sz val="12.0"/>
      <color rgb="FF990000"/>
      <name val="Lato"/>
    </font>
    <font>
      <b/>
      <sz val="11.0"/>
      <color rgb="FFEAD1DC"/>
      <name val="Lato"/>
    </font>
    <font>
      <b/>
      <sz val="2.0"/>
      <color rgb="FFFFFFFF"/>
      <name val="Lato"/>
    </font>
    <font>
      <b/>
      <sz val="11.0"/>
      <color rgb="FFFFEA00"/>
      <name val="Lato"/>
    </font>
    <font>
      <b/>
      <sz val="11.0"/>
      <color rgb="FF0066FF"/>
      <name val="Lato"/>
    </font>
    <font>
      <b/>
      <sz val="11.0"/>
      <color rgb="FFF3F3F3"/>
      <name val="Lato"/>
    </font>
    <font>
      <b/>
      <sz val="11.0"/>
      <color rgb="FFFCD116"/>
      <name val="Lato"/>
    </font>
    <font>
      <b/>
      <sz val="11.0"/>
      <color rgb="FFFD8C24"/>
      <name val="Lato"/>
    </font>
    <font>
      <i/>
      <sz val="11.0"/>
      <color rgb="FF000000"/>
      <name val="Lato"/>
    </font>
    <font>
      <i/>
      <color rgb="FF000000"/>
      <name val="Lato"/>
    </font>
    <font>
      <b/>
      <color rgb="FFFF9900"/>
      <name val="Lato"/>
    </font>
    <font>
      <b/>
      <color rgb="FF73C26F"/>
      <name val="Lato"/>
    </font>
    <font>
      <sz val="10.0"/>
      <color rgb="FF00A651"/>
      <name val="Lato"/>
    </font>
    <font>
      <color rgb="FFF1C232"/>
      <name val="Lato"/>
    </font>
    <font>
      <color rgb="FFFF9900"/>
      <name val="Lato"/>
    </font>
    <font>
      <color theme="1"/>
      <name val="Arial"/>
    </font>
    <font>
      <color rgb="FFFF9900"/>
      <name val="Arial"/>
    </font>
    <font>
      <i/>
      <color rgb="FFFFFFFF"/>
      <name val="Lato"/>
    </font>
    <font>
      <i/>
      <sz val="10.0"/>
      <color rgb="FF000000"/>
      <name val="Lato"/>
    </font>
    <font>
      <b/>
      <color rgb="FF990000"/>
      <name val="Lato"/>
    </font>
    <font>
      <color rgb="FF990000"/>
      <name val="Lato"/>
    </font>
    <font>
      <b/>
      <color rgb="FFFD8C24"/>
      <name val="Lato"/>
    </font>
    <font>
      <b/>
      <sz val="40.0"/>
      <color rgb="FFFFFFFF"/>
      <name val="Lato"/>
    </font>
    <font>
      <sz val="9.0"/>
      <color theme="1"/>
      <name val="Lato"/>
    </font>
    <font>
      <b/>
      <sz val="8.0"/>
      <color theme="1"/>
      <name val="Lato"/>
    </font>
    <font>
      <b/>
      <sz val="15.0"/>
      <color theme="1"/>
      <name val="Lato"/>
    </font>
    <font>
      <color rgb="FF000000"/>
      <name val="Lato"/>
    </font>
    <font>
      <sz val="9.0"/>
      <color rgb="FF000000"/>
      <name val="Lato"/>
    </font>
    <font>
      <u/>
      <color rgb="FFFFFFFF"/>
      <name val="Lato"/>
    </font>
    <font>
      <u/>
      <sz val="10.0"/>
      <color rgb="FFFFFFFF"/>
      <name val="Lato"/>
    </font>
    <font>
      <b/>
      <color rgb="FF000000"/>
      <name val="Arial"/>
    </font>
    <font>
      <b/>
      <color rgb="FF00A651"/>
      <name val="Lato"/>
    </font>
    <font>
      <b/>
      <sz val="18.0"/>
      <color rgb="FF00A651"/>
      <name val="Lato"/>
    </font>
    <font>
      <b/>
      <sz val="12.0"/>
      <color rgb="FF00A651"/>
      <name val="Lato"/>
    </font>
    <font>
      <i/>
      <u/>
      <sz val="10.0"/>
      <color rgb="FFFFFFFF"/>
      <name val="Lato"/>
    </font>
    <font>
      <b/>
      <i/>
      <color rgb="FF000000"/>
      <name val="Lato"/>
    </font>
    <font>
      <i/>
      <u/>
      <color rgb="FFFFFFFF"/>
      <name val="Lato"/>
    </font>
    <font>
      <i/>
      <u/>
      <color rgb="FFFFFFFF"/>
      <name val="Lato"/>
    </font>
    <font>
      <b/>
      <color rgb="FFF3F3F3"/>
      <name val="Lato"/>
    </font>
    <font>
      <b/>
      <u/>
      <sz val="14.0"/>
      <color rgb="FF1155CC"/>
      <name val="Lato"/>
    </font>
    <font>
      <b/>
      <sz val="11.0"/>
      <color rgb="FF000000"/>
      <name val="Arial"/>
    </font>
    <font>
      <sz val="11.0"/>
      <color rgb="FF000000"/>
      <name val="Arial"/>
    </font>
    <font>
      <b/>
      <sz val="10.0"/>
      <color rgb="FF000000"/>
      <name val="Arial"/>
    </font>
    <font>
      <b/>
      <sz val="11.0"/>
      <color rgb="FF73C26F"/>
      <name val="Lato"/>
    </font>
    <font>
      <b/>
      <sz val="10.0"/>
      <color rgb="FFFFFFFF"/>
      <name val="Arial"/>
    </font>
    <font>
      <b/>
      <u/>
      <sz val="33.0"/>
      <color rgb="FFFFFFFF"/>
      <name val="Lato"/>
    </font>
    <font>
      <u/>
      <color rgb="FF1155CC"/>
      <name val="Lato"/>
    </font>
    <font>
      <u/>
      <sz val="9.0"/>
      <color rgb="FF0000FF"/>
      <name val="Lato"/>
    </font>
    <font>
      <u/>
      <color rgb="FF1155CC"/>
      <name val="Lato"/>
    </font>
    <font>
      <u/>
      <color rgb="FF1155CC"/>
      <name val="Lato"/>
    </font>
    <font>
      <u/>
      <color rgb="FF1155CC"/>
      <name val="Lato"/>
    </font>
    <font>
      <u/>
      <color rgb="FF0000FF"/>
      <name val="Lato"/>
    </font>
    <font>
      <b/>
      <sz val="11.0"/>
      <color rgb="FF434343"/>
      <name val="Lato"/>
    </font>
    <font>
      <sz val="8.0"/>
      <color theme="1"/>
      <name val="Lato"/>
    </font>
    <font>
      <i/>
      <sz val="11.0"/>
      <color rgb="FFFFFFFF"/>
      <name val="Lobster"/>
    </font>
    <font>
      <b/>
      <sz val="25.0"/>
      <color rgb="FFFFFFFF"/>
      <name val="Lato"/>
    </font>
    <font>
      <i/>
      <sz val="11.0"/>
      <color rgb="FFFFFFFF"/>
      <name val="Lato"/>
    </font>
    <font>
      <b/>
      <i/>
      <sz val="10.0"/>
      <color rgb="FFFFFFFF"/>
      <name val="Lato"/>
    </font>
    <font>
      <i/>
      <sz val="10.0"/>
      <color theme="1"/>
      <name val="Lato"/>
    </font>
    <font>
      <b/>
      <u/>
      <sz val="12.0"/>
      <color rgb="FFFFFFFF"/>
      <name val="Lato"/>
    </font>
    <font>
      <b/>
      <u/>
      <sz val="12.0"/>
      <color rgb="FFFFFFFF"/>
      <name val="Lato"/>
    </font>
    <font>
      <b/>
      <u/>
      <sz val="12.0"/>
      <color rgb="FFFFFFFF"/>
      <name val="Lato"/>
    </font>
    <font>
      <b/>
      <u/>
      <sz val="12.0"/>
      <color rgb="FFFFFFFF"/>
      <name val="Lato"/>
    </font>
    <font>
      <b/>
      <u/>
      <sz val="12.0"/>
      <color rgb="FFFFFFFF"/>
      <name val="Lato"/>
    </font>
    <font>
      <b/>
      <u/>
      <sz val="12.0"/>
      <color rgb="FFFFFFFF"/>
      <name val="Lato"/>
    </font>
    <font>
      <b/>
      <u/>
      <sz val="12.0"/>
      <color rgb="FFFFFFFF"/>
      <name val="Lato"/>
    </font>
    <font>
      <b/>
      <u/>
      <sz val="12.0"/>
      <color rgb="FFFFFFFF"/>
      <name val="Lato"/>
    </font>
    <font>
      <b/>
      <u/>
      <sz val="12.0"/>
      <color rgb="FFFFFFFF"/>
      <name val="Lato"/>
    </font>
    <font>
      <b/>
      <u/>
      <sz val="12.0"/>
      <color rgb="FFFFFFFF"/>
      <name val="Lato"/>
    </font>
    <font>
      <b/>
      <u/>
      <sz val="12.0"/>
      <color rgb="FFFFFFFF"/>
      <name val="Lato"/>
    </font>
    <font>
      <b/>
      <u/>
      <sz val="12.0"/>
      <color rgb="FFFFFFFF"/>
      <name val="Lato"/>
    </font>
    <font>
      <b/>
      <u/>
      <sz val="12.0"/>
      <color rgb="FFFFFFFF"/>
      <name val="Lato"/>
    </font>
    <font>
      <b/>
      <u/>
      <sz val="12.0"/>
      <color rgb="FFFFFFFF"/>
      <name val="Lato"/>
    </font>
    <font>
      <b/>
      <u/>
      <sz val="12.0"/>
      <color rgb="FFFFFFFF"/>
      <name val="Lato"/>
    </font>
    <font>
      <b/>
      <u/>
      <sz val="12.0"/>
      <color rgb="FFFFFFFF"/>
      <name val="Lato"/>
    </font>
    <font>
      <b/>
      <u/>
      <sz val="12.0"/>
      <color rgb="FFFFFFFF"/>
      <name val="Lato"/>
    </font>
    <font>
      <strike/>
      <sz val="11.0"/>
      <color rgb="FFFFFFFF"/>
      <name val="Lato"/>
    </font>
    <font>
      <strike/>
      <sz val="11.0"/>
      <color rgb="FF000000"/>
      <name val="Lato"/>
    </font>
    <font>
      <u/>
      <sz val="10.0"/>
      <color rgb="FF666666"/>
      <name val="Lato"/>
    </font>
    <font>
      <u/>
      <sz val="10.0"/>
      <color rgb="FF666666"/>
      <name val="Lato"/>
    </font>
    <font>
      <u/>
      <sz val="10.0"/>
      <color rgb="FF666666"/>
      <name val="Lato"/>
    </font>
    <font>
      <u/>
      <sz val="10.0"/>
      <color rgb="FF666666"/>
      <name val="Lato"/>
    </font>
    <font>
      <u/>
      <sz val="10.0"/>
      <color rgb="FF666666"/>
      <name val="Lato"/>
    </font>
    <font>
      <u/>
      <sz val="10.0"/>
      <color rgb="FF666666"/>
      <name val="Lato"/>
    </font>
    <font>
      <strike/>
      <sz val="11.0"/>
      <color rgb="FFF1C232"/>
      <name val="Lato"/>
    </font>
    <font>
      <strike/>
      <sz val="11.0"/>
      <color rgb="FFFF9900"/>
      <name val="Lato"/>
    </font>
    <font>
      <color rgb="FF666666"/>
      <name val="Roboto"/>
    </font>
    <font>
      <b/>
      <u/>
      <sz val="12.0"/>
      <color rgb="FFFFFFFF"/>
      <name val="Lato"/>
    </font>
    <font>
      <b/>
      <u/>
      <sz val="12.0"/>
      <color rgb="FFFFFFFF"/>
      <name val="Lato"/>
    </font>
    <font>
      <b/>
      <u/>
      <sz val="12.0"/>
      <color rgb="FFFFFFFF"/>
      <name val="Lato"/>
    </font>
    <font>
      <b/>
      <u/>
      <sz val="12.0"/>
      <color rgb="FFFFFFFF"/>
      <name val="Lato"/>
    </font>
    <font>
      <b/>
      <u/>
      <sz val="12.0"/>
      <color rgb="FFFFFFFF"/>
      <name val="Lato"/>
    </font>
    <font>
      <b/>
      <u/>
      <sz val="12.0"/>
      <color rgb="FFFFFFFF"/>
      <name val="Lato"/>
    </font>
    <font>
      <b/>
      <u/>
      <sz val="12.0"/>
      <color rgb="FFFFFFFF"/>
      <name val="Lato"/>
    </font>
    <font>
      <b/>
      <u/>
      <sz val="12.0"/>
      <color rgb="FFFFFFFF"/>
      <name val="Lato"/>
    </font>
    <font>
      <b/>
      <u/>
      <sz val="12.0"/>
      <color rgb="FFFFFFFF"/>
      <name val="Lato"/>
    </font>
    <font>
      <b/>
      <u/>
      <sz val="12.0"/>
      <color rgb="FFFFFFFF"/>
      <name val="Lato"/>
    </font>
    <font>
      <b/>
      <strike/>
      <sz val="11.0"/>
      <color rgb="FF000000"/>
      <name val="Lato"/>
    </font>
    <font>
      <u/>
      <color rgb="FF666666"/>
      <name val="Lato"/>
    </font>
    <font>
      <u/>
      <color rgb="FF666666"/>
    </font>
    <font>
      <u/>
      <color rgb="FF666666"/>
      <name val="Lato"/>
    </font>
    <font>
      <u/>
      <color rgb="FF666666"/>
      <name val="Lato"/>
    </font>
    <font>
      <u/>
      <color rgb="FF666666"/>
      <name val="Lato"/>
    </font>
    <font>
      <u/>
      <color rgb="FF666666"/>
      <name val="Lato"/>
    </font>
    <font>
      <b/>
      <strike/>
      <sz val="11.0"/>
      <color rgb="FFFF9900"/>
      <name val="Lato"/>
    </font>
    <font>
      <b/>
      <sz val="14.0"/>
      <color rgb="FF00A651"/>
      <name val="Lato"/>
    </font>
    <font>
      <sz val="11.0"/>
      <color rgb="FF00A651"/>
      <name val="Lato"/>
    </font>
    <font>
      <u/>
      <color rgb="FF666666"/>
    </font>
    <font>
      <u/>
      <color rgb="FF666666"/>
    </font>
    <font>
      <u/>
      <color rgb="FF666666"/>
    </font>
    <font>
      <color rgb="FF666666"/>
      <name val="Arial"/>
    </font>
    <font>
      <u/>
      <color rgb="FF666666"/>
      <name val="Arial"/>
    </font>
    <font>
      <u/>
      <color rgb="FF666666"/>
    </font>
    <font>
      <u/>
      <color rgb="FF666666"/>
    </font>
    <font>
      <u/>
      <color rgb="FF666666"/>
    </font>
    <font>
      <b/>
      <strike/>
      <sz val="11.0"/>
      <color rgb="FFF1C232"/>
      <name val="Lato"/>
    </font>
    <font>
      <b/>
      <i/>
      <sz val="14.0"/>
      <color rgb="FFFFFFFF"/>
      <name val="Lato"/>
    </font>
    <font>
      <sz val="12.0"/>
      <color rgb="FFFFFFFF"/>
      <name val="Lato"/>
    </font>
    <font>
      <strike/>
      <color theme="1"/>
      <name val="Lato"/>
    </font>
    <font>
      <b/>
      <strike/>
      <color theme="1"/>
      <name val="Lato"/>
    </font>
    <font>
      <strike/>
      <sz val="11.0"/>
      <color rgb="FF00A651"/>
      <name val="Lato"/>
    </font>
    <font>
      <u/>
      <color rgb="FF666666"/>
    </font>
    <font>
      <color rgb="FFF3F3F3"/>
      <name val="Lato"/>
    </font>
    <font>
      <b/>
      <u/>
      <sz val="12.0"/>
      <color rgb="FFFFFFFF"/>
      <name val="Lato"/>
    </font>
    <font>
      <u/>
      <color rgb="FF666666"/>
      <name val="Lato"/>
    </font>
    <font>
      <u/>
      <color rgb="FF666666"/>
      <name val="Lato"/>
    </font>
    <font>
      <u/>
      <color rgb="FF666666"/>
      <name val="Lato"/>
    </font>
    <font>
      <u/>
      <color rgb="FF666666"/>
      <name val="Lato"/>
    </font>
    <font>
      <u/>
      <color rgb="FF666666"/>
    </font>
    <font>
      <u/>
      <color rgb="FF666666"/>
      <name val="Lato"/>
    </font>
    <font>
      <u/>
      <color rgb="FF666666"/>
      <name val="Lato"/>
    </font>
    <font>
      <u/>
      <color rgb="FF666666"/>
      <name val="Lato"/>
    </font>
    <font>
      <b/>
      <strike/>
      <sz val="11.0"/>
      <color rgb="FFFFFFFF"/>
      <name val="Lato"/>
    </font>
    <font>
      <b/>
      <i/>
      <sz val="14.0"/>
      <color rgb="FFFFFFFF"/>
      <name val="Arial"/>
    </font>
    <font>
      <sz val="12.0"/>
      <color rgb="FFFFFFFF"/>
      <name val="Arial"/>
    </font>
    <font>
      <b/>
      <color rgb="FFF1C232"/>
      <name val="Arial"/>
    </font>
    <font>
      <b/>
      <color rgb="FFFFD966"/>
      <name val="Arial"/>
    </font>
    <font>
      <b/>
      <sz val="10.0"/>
      <color rgb="FF00A651"/>
      <name val="Arial"/>
    </font>
    <font>
      <b/>
      <color theme="1"/>
      <name val="Roboto"/>
    </font>
    <font>
      <b/>
      <sz val="12.0"/>
      <color rgb="FFFFFFFF"/>
      <name val="Arial"/>
    </font>
    <font>
      <b/>
      <sz val="16.0"/>
      <color rgb="FFFFFFFF"/>
      <name val="Arial"/>
    </font>
    <font>
      <b/>
      <sz val="12.0"/>
      <color rgb="FFF1C232"/>
      <name val="Arial"/>
    </font>
    <font>
      <b/>
      <u/>
      <sz val="12.0"/>
      <color rgb="FFFFFFFF"/>
      <name val="Arial"/>
    </font>
    <font>
      <b/>
      <u/>
      <sz val="12.0"/>
      <color rgb="FFFFFFFF"/>
      <name val="Arial"/>
    </font>
    <font>
      <b/>
      <sz val="16.0"/>
      <color rgb="FFFFFFFF"/>
      <name val="Roboto"/>
    </font>
    <font>
      <b/>
      <sz val="14.0"/>
      <color rgb="FFF1C232"/>
      <name val="Arial"/>
    </font>
    <font>
      <b/>
      <sz val="11.0"/>
      <color rgb="FFF1C232"/>
      <name val="Roboto"/>
    </font>
    <font>
      <b/>
      <color rgb="FFC53929"/>
      <name val="Arial"/>
    </font>
    <font>
      <sz val="11.0"/>
      <color rgb="FFF1C232"/>
      <name val="Roboto"/>
    </font>
    <font>
      <strike/>
      <sz val="11.0"/>
      <color rgb="FFF1C232"/>
      <name val="Arial"/>
    </font>
    <font>
      <sz val="11.0"/>
      <color rgb="FFF1C232"/>
      <name val="Arial"/>
    </font>
    <font>
      <b/>
      <sz val="14.0"/>
      <color rgb="FF000000"/>
      <name val="Arial"/>
    </font>
    <font>
      <b/>
      <sz val="11.0"/>
      <color rgb="FF000000"/>
      <name val="Roboto"/>
    </font>
    <font>
      <sz val="11.0"/>
      <color rgb="FF000000"/>
      <name val="Roboto"/>
    </font>
    <font>
      <strike/>
      <sz val="11.0"/>
      <color rgb="FF000000"/>
      <name val="Roboto"/>
    </font>
    <font>
      <sz val="11.0"/>
      <color rgb="FFFFFFFF"/>
      <name val="Arial"/>
    </font>
    <font>
      <b/>
      <sz val="12.0"/>
      <color rgb="FFFFD966"/>
      <name val="Arial"/>
    </font>
    <font>
      <b/>
      <sz val="11.0"/>
      <color rgb="FFFFD966"/>
      <name val="Arial"/>
    </font>
    <font>
      <u/>
      <color rgb="FF666666"/>
      <name val="Arial"/>
    </font>
    <font>
      <u/>
      <color rgb="FF666666"/>
      <name val="Arial"/>
    </font>
    <font>
      <u/>
      <color rgb="FF666666"/>
      <name val="Arial"/>
    </font>
    <font>
      <u/>
      <color rgb="FF666666"/>
      <name val="Arial"/>
    </font>
    <font>
      <u/>
      <color rgb="FF666666"/>
      <name val="Arial"/>
    </font>
    <font>
      <strike/>
      <sz val="11.0"/>
      <color rgb="FF000000"/>
      <name val="Arial"/>
    </font>
    <font>
      <b/>
      <sz val="12.0"/>
      <color rgb="FF990000"/>
      <name val="Roboto"/>
    </font>
    <font>
      <b/>
      <sz val="11.0"/>
      <color rgb="FF990000"/>
      <name val="Roboto"/>
    </font>
    <font>
      <b/>
      <sz val="12.0"/>
      <color rgb="FFFFEA00"/>
      <name val="Roboto"/>
    </font>
    <font>
      <b/>
      <sz val="11.0"/>
      <color rgb="FFFFEA00"/>
      <name val="Roboto"/>
    </font>
    <font>
      <b/>
      <sz val="12.0"/>
      <color rgb="FFFFFFFF"/>
      <name val="Roboto"/>
    </font>
    <font>
      <b/>
      <strike/>
      <sz val="11.0"/>
      <color rgb="FFFFFFFF"/>
      <name val="Roboto"/>
    </font>
    <font>
      <b/>
      <sz val="16.0"/>
      <color rgb="FFFFFFFF"/>
      <name val="Inconsolata"/>
    </font>
    <font>
      <b/>
      <sz val="11.0"/>
      <color theme="1"/>
      <name val="Arial"/>
    </font>
    <font>
      <b/>
      <sz val="11.0"/>
      <color rgb="FFC53929"/>
      <name val="Arial"/>
    </font>
    <font>
      <color rgb="FFF3F3F3"/>
      <name val="Arial"/>
    </font>
    <font>
      <b/>
      <sz val="18.0"/>
      <color rgb="FFFFFFFF"/>
      <name val="Arial"/>
    </font>
    <font>
      <b/>
      <sz val="14.0"/>
      <color rgb="FFFFFFFF"/>
      <name val="Roboto"/>
    </font>
    <font>
      <b/>
      <sz val="11.0"/>
      <color rgb="FFF1C232"/>
      <name val="Arial"/>
    </font>
    <font>
      <b/>
      <sz val="14.0"/>
      <color rgb="FFFFFFFF"/>
      <name val="Arial"/>
    </font>
    <font>
      <u/>
      <color rgb="FF666666"/>
    </font>
    <font>
      <u/>
      <color rgb="FF666666"/>
    </font>
    <font>
      <u/>
      <color rgb="FF666666"/>
    </font>
    <font>
      <u/>
      <color rgb="FF666666"/>
    </font>
    <font>
      <b/>
      <sz val="14.0"/>
      <color rgb="FF990000"/>
      <name val="Roboto"/>
    </font>
    <font>
      <sz val="11.0"/>
      <color theme="1"/>
      <name val="Arial"/>
    </font>
    <font>
      <u/>
      <color rgb="FF666666"/>
      <name val="Arial"/>
    </font>
    <font>
      <u/>
      <color rgb="FF666666"/>
      <name val="Arial"/>
    </font>
    <font>
      <u/>
      <color rgb="FF666666"/>
      <name val="Arial"/>
    </font>
    <font>
      <strike/>
      <sz val="11.0"/>
      <color rgb="FFF1C232"/>
      <name val="Roboto"/>
    </font>
    <font>
      <b/>
      <strike/>
      <sz val="11.0"/>
      <color rgb="FF990000"/>
      <name val="Roboto"/>
    </font>
    <font>
      <b/>
      <strike/>
      <sz val="11.0"/>
      <color rgb="FFFFFFFF"/>
      <name val="Arial"/>
    </font>
    <font>
      <b/>
      <sz val="20.0"/>
      <color rgb="FFFFFFFF"/>
      <name val="Arial"/>
    </font>
    <font>
      <b/>
      <u/>
      <sz val="12.0"/>
      <color rgb="FFFFFFFF"/>
      <name val="Arial"/>
    </font>
    <font>
      <b/>
      <u/>
      <sz val="12.0"/>
      <color rgb="FFFFFFFF"/>
      <name val="Arial"/>
    </font>
    <font>
      <u/>
      <color rgb="FF666666"/>
    </font>
    <font>
      <u/>
      <color rgb="FF666666"/>
    </font>
    <font>
      <sz val="11.0"/>
      <color rgb="FFC53929"/>
      <name val="Arial"/>
    </font>
    <font>
      <strike/>
      <sz val="11.0"/>
      <color rgb="FFFFFFFF"/>
      <name val="Arial"/>
    </font>
    <font>
      <b/>
      <sz val="13.0"/>
      <color rgb="FF000000"/>
      <name val="Arial"/>
    </font>
    <font>
      <b/>
      <strike/>
      <sz val="11.0"/>
      <color rgb="FF000000"/>
      <name val="Arial"/>
    </font>
    <font>
      <u/>
      <color rgb="FF666666"/>
    </font>
    <font>
      <u/>
      <color rgb="FF666666"/>
    </font>
    <font>
      <u/>
      <color rgb="FF666666"/>
    </font>
    <font>
      <b/>
      <sz val="14.0"/>
      <color theme="1"/>
      <name val="Roboto"/>
    </font>
    <font>
      <sz val="11.0"/>
      <color rgb="FF990000"/>
      <name val="Roboto"/>
    </font>
    <font>
      <b/>
      <sz val="13.0"/>
      <color rgb="FFFFFFFF"/>
      <name val="Arial"/>
    </font>
    <font>
      <u/>
      <color rgb="FF666666"/>
    </font>
    <font>
      <b/>
      <sz val="14.0"/>
      <color rgb="FF990000"/>
      <name val="Arial"/>
    </font>
    <font>
      <b/>
      <sz val="11.0"/>
      <color rgb="FF990000"/>
      <name val="Arial"/>
    </font>
    <font>
      <strike/>
      <sz val="11.0"/>
      <color rgb="FFFFFFFF"/>
      <name val="Roboto"/>
    </font>
    <font>
      <b/>
      <strike/>
      <sz val="11.0"/>
      <color rgb="FFF1C232"/>
      <name val="Roboto"/>
    </font>
    <font>
      <strike/>
      <sz val="11.0"/>
      <color theme="1"/>
      <name val="Arial"/>
    </font>
    <font>
      <u/>
      <color rgb="FF666666"/>
    </font>
    <font>
      <strike/>
      <sz val="11.0"/>
      <color theme="1"/>
      <name val="Roboto"/>
    </font>
    <font>
      <b/>
      <sz val="14.0"/>
      <color rgb="FFFD8C24"/>
      <name val="Arial"/>
    </font>
    <font>
      <strike/>
      <sz val="11.0"/>
      <color rgb="FFFD8C24"/>
      <name val="Arial"/>
    </font>
    <font>
      <b/>
      <sz val="11.0"/>
      <color rgb="FFFD8C24"/>
      <name val="Arial"/>
    </font>
    <font>
      <b/>
      <u/>
      <sz val="12.0"/>
      <color rgb="FFFFFFFF"/>
      <name val="Arial"/>
    </font>
    <font>
      <u/>
      <color rgb="FF666666"/>
    </font>
    <font>
      <u/>
      <color rgb="FF666666"/>
    </font>
    <font>
      <u/>
      <color rgb="FF666666"/>
    </font>
    <font>
      <b/>
      <u/>
      <color rgb="FF666666"/>
    </font>
    <font>
      <b/>
      <u/>
      <color rgb="FF666666"/>
    </font>
    <font>
      <b/>
      <strike/>
      <sz val="11.0"/>
      <color rgb="FFFD8C24"/>
      <name val="Arial"/>
    </font>
    <font>
      <b/>
      <color rgb="FF666666"/>
      <name val="Roboto"/>
    </font>
  </fonts>
  <fills count="69">
    <fill>
      <patternFill patternType="none"/>
    </fill>
    <fill>
      <patternFill patternType="lightGray"/>
    </fill>
    <fill>
      <patternFill patternType="solid">
        <fgColor rgb="FFF3F3F3"/>
        <bgColor rgb="FFF3F3F3"/>
      </patternFill>
    </fill>
    <fill>
      <patternFill patternType="solid">
        <fgColor rgb="FF072F84"/>
        <bgColor rgb="FF072F84"/>
      </patternFill>
    </fill>
    <fill>
      <patternFill patternType="solid">
        <fgColor rgb="FFFFFFFF"/>
        <bgColor rgb="FFFFFFFF"/>
      </patternFill>
    </fill>
    <fill>
      <patternFill patternType="solid">
        <fgColor rgb="FF8BD86B"/>
        <bgColor rgb="FF8BD86B"/>
      </patternFill>
    </fill>
    <fill>
      <patternFill patternType="solid">
        <fgColor rgb="FFB7B7B7"/>
        <bgColor rgb="FFB7B7B7"/>
      </patternFill>
    </fill>
    <fill>
      <patternFill patternType="solid">
        <fgColor rgb="FFDE0000"/>
        <bgColor rgb="FFDE0000"/>
      </patternFill>
    </fill>
    <fill>
      <patternFill patternType="solid">
        <fgColor rgb="FF434343"/>
        <bgColor rgb="FF434343"/>
      </patternFill>
    </fill>
    <fill>
      <patternFill patternType="solid">
        <fgColor rgb="FFEA9999"/>
        <bgColor rgb="FFEA9999"/>
      </patternFill>
    </fill>
    <fill>
      <patternFill patternType="solid">
        <fgColor rgb="FF313233"/>
        <bgColor rgb="FF313233"/>
      </patternFill>
    </fill>
    <fill>
      <patternFill patternType="solid">
        <fgColor rgb="FF38761D"/>
        <bgColor rgb="FF38761D"/>
      </patternFill>
    </fill>
    <fill>
      <patternFill patternType="solid">
        <fgColor rgb="FF070569"/>
        <bgColor rgb="FF070569"/>
      </patternFill>
    </fill>
    <fill>
      <patternFill patternType="solid">
        <fgColor rgb="FFD4AF37"/>
        <bgColor rgb="FFD4AF37"/>
      </patternFill>
    </fill>
    <fill>
      <patternFill patternType="solid">
        <fgColor rgb="FFCCCCCC"/>
        <bgColor rgb="FFCCCCCC"/>
      </patternFill>
    </fill>
    <fill>
      <patternFill patternType="solid">
        <fgColor rgb="FFFFE600"/>
        <bgColor rgb="FFFFE600"/>
      </patternFill>
    </fill>
    <fill>
      <patternFill patternType="solid">
        <fgColor rgb="FFEFEFEF"/>
        <bgColor rgb="FFEFEFEF"/>
      </patternFill>
    </fill>
    <fill>
      <patternFill patternType="solid">
        <fgColor rgb="FF674EA7"/>
        <bgColor rgb="FF674EA7"/>
      </patternFill>
    </fill>
    <fill>
      <patternFill patternType="solid">
        <fgColor rgb="FF45818E"/>
        <bgColor rgb="FF45818E"/>
      </patternFill>
    </fill>
    <fill>
      <patternFill patternType="solid">
        <fgColor rgb="FF6FA8DC"/>
        <bgColor rgb="FF6FA8DC"/>
      </patternFill>
    </fill>
    <fill>
      <patternFill patternType="solid">
        <fgColor rgb="FF666666"/>
        <bgColor rgb="FF666666"/>
      </patternFill>
    </fill>
    <fill>
      <patternFill patternType="solid">
        <fgColor rgb="FFF4C7C3"/>
        <bgColor rgb="FFF4C7C3"/>
      </patternFill>
    </fill>
    <fill>
      <patternFill patternType="solid">
        <fgColor rgb="FFD9EAD3"/>
        <bgColor rgb="FFD9EAD3"/>
      </patternFill>
    </fill>
    <fill>
      <patternFill patternType="solid">
        <fgColor rgb="FF1767C6"/>
        <bgColor rgb="FF1767C6"/>
      </patternFill>
    </fill>
    <fill>
      <patternFill patternType="solid">
        <fgColor rgb="FFB7E1CD"/>
        <bgColor rgb="FFB7E1CD"/>
      </patternFill>
    </fill>
    <fill>
      <patternFill patternType="solid">
        <fgColor rgb="FFF4CCCC"/>
        <bgColor rgb="FFF4CCCC"/>
      </patternFill>
    </fill>
    <fill>
      <patternFill patternType="solid">
        <fgColor rgb="FFFFF2CC"/>
        <bgColor rgb="FFFFF2CC"/>
      </patternFill>
    </fill>
    <fill>
      <patternFill patternType="solid">
        <fgColor rgb="FFF6B26B"/>
        <bgColor rgb="FFF6B26B"/>
      </patternFill>
    </fill>
    <fill>
      <patternFill patternType="solid">
        <fgColor rgb="FF999999"/>
        <bgColor rgb="FF999999"/>
      </patternFill>
    </fill>
    <fill>
      <patternFill patternType="solid">
        <fgColor rgb="FF00AF3F"/>
        <bgColor rgb="FF00AF3F"/>
      </patternFill>
    </fill>
    <fill>
      <patternFill patternType="solid">
        <fgColor rgb="FF6AA84F"/>
        <bgColor rgb="FF6AA84F"/>
      </patternFill>
    </fill>
    <fill>
      <patternFill patternType="solid">
        <fgColor rgb="FF73C26F"/>
        <bgColor rgb="FF73C26F"/>
      </patternFill>
    </fill>
    <fill>
      <patternFill patternType="solid">
        <fgColor rgb="FFE06666"/>
        <bgColor rgb="FFE06666"/>
      </patternFill>
    </fill>
    <fill>
      <patternFill patternType="solid">
        <fgColor rgb="FF274E13"/>
        <bgColor rgb="FF274E13"/>
      </patternFill>
    </fill>
    <fill>
      <patternFill patternType="solid">
        <fgColor rgb="FFFCD116"/>
        <bgColor rgb="FFFCD116"/>
      </patternFill>
    </fill>
    <fill>
      <patternFill patternType="solid">
        <fgColor rgb="FFF838CE"/>
        <bgColor rgb="FFF838CE"/>
      </patternFill>
    </fill>
    <fill>
      <patternFill patternType="solid">
        <fgColor rgb="FF990000"/>
        <bgColor rgb="FF990000"/>
      </patternFill>
    </fill>
    <fill>
      <patternFill patternType="solid">
        <fgColor rgb="FFFD8C24"/>
        <bgColor rgb="FFFD8C24"/>
      </patternFill>
    </fill>
    <fill>
      <patternFill patternType="solid">
        <fgColor rgb="FF6BBED8"/>
        <bgColor rgb="FF6BBED8"/>
      </patternFill>
    </fill>
    <fill>
      <patternFill patternType="solid">
        <fgColor rgb="FFA64D79"/>
        <bgColor rgb="FFA64D79"/>
      </patternFill>
    </fill>
    <fill>
      <patternFill patternType="solid">
        <fgColor rgb="FF0D4272"/>
        <bgColor rgb="FF0D4272"/>
      </patternFill>
    </fill>
    <fill>
      <patternFill patternType="solid">
        <fgColor rgb="FF2E498E"/>
        <bgColor rgb="FF2E498E"/>
      </patternFill>
    </fill>
    <fill>
      <patternFill patternType="solid">
        <fgColor rgb="FF5E085E"/>
        <bgColor rgb="FF5E085E"/>
      </patternFill>
    </fill>
    <fill>
      <patternFill patternType="solid">
        <fgColor rgb="FF93C47D"/>
        <bgColor rgb="FF93C47D"/>
      </patternFill>
    </fill>
    <fill>
      <patternFill patternType="solid">
        <fgColor rgb="FFF1C232"/>
        <bgColor rgb="FFF1C232"/>
      </patternFill>
    </fill>
    <fill>
      <patternFill patternType="solid">
        <fgColor rgb="FF00A651"/>
        <bgColor rgb="FF00A651"/>
      </patternFill>
    </fill>
    <fill>
      <patternFill patternType="solid">
        <fgColor rgb="FF82BC00"/>
        <bgColor rgb="FF82BC00"/>
      </patternFill>
    </fill>
    <fill>
      <patternFill patternType="solid">
        <fgColor rgb="FFFF0000"/>
        <bgColor rgb="FFFF0000"/>
      </patternFill>
    </fill>
    <fill>
      <patternFill patternType="solid">
        <fgColor rgb="FFCC0000"/>
        <bgColor rgb="FFCC0000"/>
      </patternFill>
    </fill>
    <fill>
      <patternFill patternType="solid">
        <fgColor rgb="FF153460"/>
        <bgColor rgb="FF153460"/>
      </patternFill>
    </fill>
    <fill>
      <patternFill patternType="solid">
        <fgColor rgb="FF732A86"/>
        <bgColor rgb="FF732A86"/>
      </patternFill>
    </fill>
    <fill>
      <patternFill patternType="solid">
        <fgColor rgb="FF470A47"/>
        <bgColor rgb="FF470A47"/>
      </patternFill>
    </fill>
    <fill>
      <patternFill patternType="solid">
        <fgColor rgb="FF6D9EEB"/>
        <bgColor rgb="FF6D9EEB"/>
      </patternFill>
    </fill>
    <fill>
      <patternFill patternType="solid">
        <fgColor rgb="FF8080B0"/>
        <bgColor rgb="FF8080B0"/>
      </patternFill>
    </fill>
    <fill>
      <patternFill patternType="solid">
        <fgColor rgb="FFD9D9D9"/>
        <bgColor rgb="FFD9D9D9"/>
      </patternFill>
    </fill>
    <fill>
      <patternFill patternType="solid">
        <fgColor rgb="FF741B47"/>
        <bgColor rgb="FF741B47"/>
      </patternFill>
    </fill>
    <fill>
      <patternFill patternType="solid">
        <fgColor rgb="FFE2001A"/>
        <bgColor rgb="FFE2001A"/>
      </patternFill>
    </fill>
    <fill>
      <patternFill patternType="solid">
        <fgColor rgb="FFFFE400"/>
        <bgColor rgb="FFFFE400"/>
      </patternFill>
    </fill>
    <fill>
      <patternFill patternType="solid">
        <fgColor rgb="FF003000"/>
        <bgColor rgb="FF003000"/>
      </patternFill>
    </fill>
    <fill>
      <patternFill patternType="solid">
        <fgColor rgb="FF003BD1"/>
        <bgColor rgb="FF003BD1"/>
      </patternFill>
    </fill>
    <fill>
      <patternFill patternType="solid">
        <fgColor rgb="FF000000"/>
        <bgColor rgb="FF000000"/>
      </patternFill>
    </fill>
    <fill>
      <patternFill patternType="solid">
        <fgColor rgb="FF1155CC"/>
        <bgColor rgb="FF1155CC"/>
      </patternFill>
    </fill>
    <fill>
      <patternFill patternType="solid">
        <fgColor rgb="FFFFEA00"/>
        <bgColor rgb="FFFFEA00"/>
      </patternFill>
    </fill>
    <fill>
      <patternFill patternType="solid">
        <fgColor rgb="FF00FFFF"/>
        <bgColor rgb="FF00FFFF"/>
      </patternFill>
    </fill>
    <fill>
      <patternFill patternType="solid">
        <fgColor rgb="FF783F04"/>
        <bgColor rgb="FF783F04"/>
      </patternFill>
    </fill>
    <fill>
      <patternFill patternType="solid">
        <fgColor rgb="FFB45F06"/>
        <bgColor rgb="FFB45F06"/>
      </patternFill>
    </fill>
    <fill>
      <patternFill patternType="solid">
        <fgColor rgb="FF1C4587"/>
        <bgColor rgb="FF1C4587"/>
      </patternFill>
    </fill>
    <fill>
      <patternFill patternType="solid">
        <fgColor rgb="FF0B5394"/>
        <bgColor rgb="FF0B5394"/>
      </patternFill>
    </fill>
    <fill>
      <patternFill patternType="solid">
        <fgColor rgb="FFFF9900"/>
        <bgColor rgb="FFFF9900"/>
      </patternFill>
    </fill>
  </fills>
  <borders count="270">
    <border/>
    <border>
      <left style="thin">
        <color rgb="FFF3F3F3"/>
      </left>
      <right style="thin">
        <color rgb="FFF3F3F3"/>
      </right>
      <top style="thin">
        <color rgb="FFF3F3F3"/>
      </top>
      <bottom style="thin">
        <color rgb="FFF3F3F3"/>
      </bottom>
    </border>
    <border>
      <left style="thick">
        <color rgb="FF000000"/>
      </left>
      <top style="thick">
        <color rgb="FF000000"/>
      </top>
      <bottom style="thin">
        <color rgb="FFF3F3F3"/>
      </bottom>
    </border>
    <border>
      <top style="thick">
        <color rgb="FF000000"/>
      </top>
      <bottom style="thin">
        <color rgb="FFF3F3F3"/>
      </bottom>
    </border>
    <border>
      <right style="thick">
        <color rgb="FF000000"/>
      </right>
      <top style="thick">
        <color rgb="FF000000"/>
      </top>
      <bottom style="thin">
        <color rgb="FFF3F3F3"/>
      </bottom>
    </border>
    <border>
      <right style="thin">
        <color rgb="FFF3F3F3"/>
      </right>
      <top style="thin">
        <color rgb="FFF3F3F3"/>
      </top>
      <bottom style="thin">
        <color rgb="FFF3F3F3"/>
      </bottom>
    </border>
    <border>
      <left style="thick">
        <color rgb="FF000000"/>
      </left>
      <bottom style="thick">
        <color rgb="FF000000"/>
      </bottom>
    </border>
    <border>
      <bottom style="thick">
        <color rgb="FF000000"/>
      </bottom>
    </border>
    <border>
      <right style="thick">
        <color rgb="FF000000"/>
      </right>
      <bottom style="thick">
        <color rgb="FF000000"/>
      </bottom>
    </border>
    <border>
      <left style="thin">
        <color rgb="FFF3F3F3"/>
      </left>
      <right style="thin">
        <color rgb="FFF3F3F3"/>
      </right>
    </border>
    <border>
      <left style="thin">
        <color rgb="FFF3F3F3"/>
      </left>
      <right style="thin">
        <color rgb="FFF3F3F3"/>
      </right>
      <bottom style="thin">
        <color rgb="FFF3F3F3"/>
      </bottom>
    </border>
    <border>
      <left style="thin">
        <color rgb="FFF3F3F3"/>
      </left>
      <right style="thin">
        <color rgb="FFF3F3F3"/>
      </right>
      <top style="thin">
        <color rgb="FFF3F3F3"/>
      </top>
    </border>
    <border>
      <left style="thin">
        <color rgb="FFF3F3F3"/>
      </left>
      <top style="thin">
        <color rgb="FFF3F3F3"/>
      </top>
      <bottom style="thin">
        <color rgb="FFF3F3F3"/>
      </bottom>
    </border>
    <border>
      <left style="medium">
        <color rgb="FF000000"/>
      </left>
      <right style="medium">
        <color rgb="FF000000"/>
      </right>
      <top style="medium">
        <color rgb="FF000000"/>
      </top>
    </border>
    <border>
      <top style="thin">
        <color rgb="FFF3F3F3"/>
      </top>
      <bottom style="thin">
        <color rgb="FFF3F3F3"/>
      </bottom>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medium">
        <color rgb="FF000000"/>
      </left>
      <top style="medium">
        <color rgb="FF000000"/>
      </top>
    </border>
    <border>
      <right style="medium">
        <color rgb="FF000000"/>
      </right>
      <top style="medium">
        <color rgb="FF000000"/>
      </top>
    </border>
    <border>
      <left style="medium">
        <color rgb="FF000000"/>
      </left>
      <right style="medium">
        <color rgb="FF000000"/>
      </right>
      <bottom style="medium">
        <color rgb="FF000000"/>
      </bottom>
    </border>
    <border>
      <left style="thin">
        <color rgb="FFF3F3F3"/>
      </left>
      <top style="thin">
        <color rgb="FFF3F3F3"/>
      </top>
    </border>
    <border>
      <left style="medium">
        <color rgb="FF000000"/>
      </left>
      <bottom style="thick">
        <color rgb="FF000000"/>
      </bottom>
    </border>
    <border>
      <right style="medium">
        <color rgb="FF000000"/>
      </right>
      <bottom style="thick">
        <color rgb="FF000000"/>
      </bottom>
    </border>
    <border>
      <left style="medium">
        <color rgb="FF000000"/>
      </left>
      <bottom style="medium">
        <color rgb="FF000000"/>
      </bottom>
    </border>
    <border>
      <right style="medium">
        <color rgb="FF000000"/>
      </right>
      <bottom style="medium">
        <color rgb="FF000000"/>
      </bottom>
    </border>
    <border>
      <left style="medium">
        <color rgb="FF000000"/>
      </left>
      <right style="medium">
        <color rgb="FF000000"/>
      </right>
      <top style="medium">
        <color rgb="FF000000"/>
      </top>
      <bottom style="medium">
        <color rgb="FF000000"/>
      </bottom>
    </border>
    <border>
      <right style="thin">
        <color rgb="FF000000"/>
      </right>
      <top style="medium">
        <color rgb="FF000000"/>
      </top>
      <bottom style="medium">
        <color rgb="FF000000"/>
      </bottom>
    </border>
    <border>
      <left style="thin">
        <color rgb="FFF3F3F3"/>
      </left>
      <right style="thin">
        <color rgb="FFF3F3F3"/>
      </right>
      <bottom style="medium">
        <color rgb="FF000000"/>
      </bottom>
    </border>
    <border>
      <right style="thin">
        <color rgb="FFF3F3F3"/>
      </right>
      <bottom style="medium">
        <color rgb="FF000000"/>
      </bottom>
    </border>
    <border>
      <left style="medium">
        <color rgb="FF000000"/>
      </left>
    </border>
    <border>
      <right style="medium">
        <color rgb="FF000000"/>
      </right>
    </border>
    <border>
      <left style="medium">
        <color rgb="FF000000"/>
      </left>
      <right style="medium">
        <color rgb="FF000000"/>
      </right>
    </border>
    <border>
      <left style="medium">
        <color rgb="FF000000"/>
      </left>
      <right style="thin">
        <color rgb="FF000000"/>
      </right>
      <top style="medium">
        <color rgb="FF000000"/>
      </top>
      <bottom style="medium">
        <color rgb="FF000000"/>
      </bottom>
    </border>
    <border>
      <left style="medium">
        <color rgb="FF000000"/>
      </left>
      <right style="thin">
        <color rgb="FF000000"/>
      </right>
      <bottom style="medium">
        <color rgb="FF000000"/>
      </bottom>
    </border>
    <border>
      <right style="thin">
        <color rgb="FF000000"/>
      </right>
      <bottom style="medium">
        <color rgb="FF000000"/>
      </bottom>
    </border>
    <border>
      <right style="medium">
        <color rgb="FF000000"/>
      </right>
      <top style="thin">
        <color rgb="FFF3F3F3"/>
      </top>
      <bottom style="thin">
        <color rgb="FFF3F3F3"/>
      </bottom>
    </border>
    <border>
      <left style="medium">
        <color rgb="FF000000"/>
      </left>
      <right style="medium">
        <color rgb="FF000000"/>
      </right>
      <top style="medium">
        <color rgb="FF000000"/>
      </top>
      <bottom style="thin">
        <color rgb="FF000000"/>
      </bottom>
    </border>
    <border>
      <top style="thin">
        <color rgb="FFF3F3F3"/>
      </top>
    </border>
    <border>
      <bottom style="thin">
        <color rgb="FFF3F3F3"/>
      </bottom>
    </border>
    <border>
      <left style="medium">
        <color rgb="FF000000"/>
      </left>
      <bottom style="thin">
        <color rgb="FFF3F3F3"/>
      </bottom>
    </border>
    <border>
      <right style="medium">
        <color rgb="FF000000"/>
      </right>
      <bottom style="thin">
        <color rgb="FFF3F3F3"/>
      </bottom>
    </border>
    <border>
      <top style="medium">
        <color rgb="FF000000"/>
      </top>
    </border>
    <border>
      <right style="thin">
        <color rgb="FFF3F3F3"/>
      </right>
      <top style="thin">
        <color rgb="FF000000"/>
      </top>
      <bottom style="medium">
        <color rgb="FF000000"/>
      </bottom>
    </border>
    <border>
      <left style="thin">
        <color rgb="FF000000"/>
      </left>
      <bottom style="thin">
        <color rgb="FF000000"/>
      </bottom>
    </border>
    <border>
      <bottom style="thin">
        <color rgb="FF000000"/>
      </bottom>
    </border>
    <border>
      <right style="thin">
        <color rgb="FF000000"/>
      </right>
      <bottom style="thin">
        <color rgb="FF000000"/>
      </bottom>
    </border>
    <border>
      <right style="thin">
        <color rgb="FF000000"/>
      </right>
    </border>
    <border>
      <left style="medium">
        <color rgb="FF000000"/>
      </left>
      <right style="thin">
        <color rgb="FFFFFFFF"/>
      </right>
      <top style="medium">
        <color rgb="FF000000"/>
      </top>
      <bottom style="medium">
        <color rgb="FF000000"/>
      </bottom>
    </border>
    <border>
      <right style="thin">
        <color rgb="FFFFFFFF"/>
      </right>
      <top style="medium">
        <color rgb="FF000000"/>
      </top>
      <bottom style="medium">
        <color rgb="FF000000"/>
      </bottom>
    </border>
    <border>
      <left style="thin">
        <color rgb="FF000000"/>
      </left>
      <right style="thin">
        <color rgb="FF000000"/>
      </right>
    </border>
    <border>
      <left style="thin">
        <color rgb="FF000000"/>
      </left>
      <right style="medium">
        <color rgb="FF000000"/>
      </right>
    </border>
    <border>
      <left style="thin">
        <color rgb="FF000000"/>
      </left>
      <top style="medium">
        <color rgb="FF000000"/>
      </top>
      <bottom style="medium">
        <color rgb="FF000000"/>
      </bottom>
    </border>
    <border>
      <left style="thin">
        <color rgb="FF000000"/>
      </left>
    </border>
    <border>
      <left style="medium">
        <color rgb="FF000000"/>
      </left>
      <right style="thin">
        <color rgb="FF000000"/>
      </right>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right style="medium">
        <color rgb="FF000000"/>
      </right>
      <top style="thin">
        <color rgb="FF000000"/>
      </top>
      <bottom style="thin">
        <color rgb="FF000000"/>
      </bottom>
    </border>
    <border>
      <left style="thin">
        <color rgb="FF000000"/>
      </left>
      <top style="thin">
        <color rgb="FF000000"/>
      </top>
    </border>
    <border>
      <left style="thin">
        <color rgb="FF000000"/>
      </left>
      <bottom style="medium">
        <color rgb="FF000000"/>
      </bottom>
    </border>
    <border>
      <right style="medium">
        <color rgb="FF000000"/>
      </right>
      <bottom style="thin">
        <color rgb="FF000000"/>
      </bottom>
    </border>
    <border>
      <left style="thin">
        <color rgb="FF000000"/>
      </left>
      <right style="thin">
        <color rgb="FF000000"/>
      </right>
      <top style="medium">
        <color rgb="FF000000"/>
      </top>
      <bottom style="thin">
        <color rgb="FF000000"/>
      </bottom>
    </border>
    <border>
      <left style="thin">
        <color rgb="FF000000"/>
      </left>
      <right style="thin">
        <color rgb="FF000000"/>
      </right>
      <bottom style="thin">
        <color rgb="FF000000"/>
      </bottom>
    </border>
    <border>
      <right style="thin">
        <color rgb="FF000000"/>
      </right>
      <top style="medium">
        <color rgb="FF000000"/>
      </top>
      <bottom style="thin">
        <color rgb="FF000000"/>
      </bottom>
    </border>
    <border>
      <top style="medium">
        <color rgb="FF000000"/>
      </top>
      <bottom style="thin">
        <color rgb="FF000000"/>
      </bottom>
    </border>
    <border>
      <left style="medium">
        <color rgb="FF000000"/>
      </left>
      <right style="thin">
        <color rgb="FF000000"/>
      </right>
      <top style="medium">
        <color rgb="FF000000"/>
      </top>
      <bottom style="thin">
        <color rgb="FF000000"/>
      </bottom>
    </border>
    <border>
      <left style="thin">
        <color rgb="FF000000"/>
      </left>
      <right style="medium">
        <color rgb="FF000000"/>
      </right>
      <top style="medium">
        <color rgb="FF000000"/>
      </top>
      <bottom style="thin">
        <color rgb="FF000000"/>
      </bottom>
    </border>
    <border>
      <left style="medium">
        <color rgb="FF000000"/>
      </left>
      <top style="medium">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medium">
        <color rgb="FF000000"/>
      </right>
      <bottom style="thin">
        <color rgb="FF000000"/>
      </bottom>
    </border>
    <border>
      <left style="thin">
        <color rgb="FF000000"/>
      </left>
      <right style="thin">
        <color rgb="FF000000"/>
      </right>
      <bottom style="medium">
        <color rgb="FF000000"/>
      </bottom>
    </border>
    <border>
      <left style="thin">
        <color rgb="FF000000"/>
      </left>
      <right style="medium">
        <color rgb="FF000000"/>
      </right>
      <bottom style="medium">
        <color rgb="FF000000"/>
      </bottom>
    </border>
    <border>
      <bottom style="medium">
        <color rgb="FF000000"/>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F3F3F3"/>
      </left>
      <right style="thin">
        <color rgb="FFF3F3F3"/>
      </right>
      <top style="medium">
        <color rgb="FF000000"/>
      </top>
      <bottom style="medium">
        <color rgb="FF000000"/>
      </bottom>
    </border>
    <border>
      <right style="thin">
        <color rgb="FF000000"/>
      </right>
      <top style="medium">
        <color rgb="FF000000"/>
      </top>
    </border>
    <border>
      <left style="thin">
        <color rgb="FF000000"/>
      </left>
      <top style="medium">
        <color rgb="FF000000"/>
      </top>
    </border>
    <border>
      <left style="thin">
        <color rgb="FF38761D"/>
      </left>
      <top style="medium">
        <color rgb="FF000000"/>
      </top>
    </border>
    <border>
      <right style="thin">
        <color rgb="FFFFFFFF"/>
      </right>
    </border>
    <border>
      <left style="thin">
        <color rgb="FFFFFFFF"/>
      </left>
    </border>
    <border>
      <left style="thin">
        <color rgb="FF38761D"/>
      </left>
    </border>
    <border>
      <left style="thin">
        <color rgb="FFF3F3F3"/>
      </left>
      <top style="medium">
        <color rgb="FF000000"/>
      </top>
      <bottom style="medium">
        <color rgb="FF000000"/>
      </bottom>
    </border>
    <border>
      <right style="thin">
        <color rgb="FFF3F3F3"/>
      </right>
      <top style="medium">
        <color rgb="FF000000"/>
      </top>
      <bottom style="medium">
        <color rgb="FF000000"/>
      </bottom>
    </border>
    <border>
      <right style="thin">
        <color rgb="FF38761D"/>
      </right>
    </border>
    <border>
      <left style="thin">
        <color rgb="FFFF9900"/>
      </left>
    </border>
    <border>
      <right style="thin">
        <color rgb="FFF1C232"/>
      </right>
    </border>
    <border>
      <left style="thin">
        <color rgb="FFF1C232"/>
      </left>
    </border>
    <border>
      <left style="thin">
        <color rgb="FFF3F3F3"/>
      </left>
      <right style="thin">
        <color rgb="FFF3F3F3"/>
      </right>
      <top style="medium">
        <color rgb="FF000000"/>
      </top>
    </border>
    <border>
      <left style="thin">
        <color rgb="FFFFFFFF"/>
      </left>
      <right style="thin">
        <color rgb="FFFFFFFF"/>
      </right>
    </border>
    <border>
      <left style="thin">
        <color rgb="FFFFFFFF"/>
      </left>
      <top style="medium">
        <color rgb="FF000000"/>
      </top>
    </border>
    <border>
      <right style="thin">
        <color rgb="FFFFFFFF"/>
      </right>
      <top style="medium">
        <color rgb="FF000000"/>
      </top>
    </border>
    <border>
      <right style="thin">
        <color rgb="FF666666"/>
      </right>
    </border>
    <border>
      <right style="thin">
        <color rgb="FF990000"/>
      </right>
    </border>
    <border>
      <left style="thin">
        <color rgb="FF990000"/>
      </left>
    </border>
    <border>
      <right style="thin">
        <color rgb="FF000000"/>
      </right>
      <top style="thin">
        <color rgb="FF000000"/>
      </top>
      <bottom style="medium">
        <color rgb="FF000000"/>
      </bottom>
    </border>
    <border>
      <right style="thin">
        <color rgb="FFFFD966"/>
      </right>
    </border>
    <border>
      <left style="thin">
        <color rgb="FFFFD966"/>
      </left>
    </border>
    <border>
      <right style="thin">
        <color rgb="FF00A651"/>
      </right>
    </border>
    <border>
      <left style="thin">
        <color rgb="FF00A651"/>
      </left>
    </border>
    <border>
      <right style="thin">
        <color rgb="FFCC0000"/>
      </right>
    </border>
    <border>
      <left style="thin">
        <color rgb="FFCC0000"/>
      </left>
    </border>
    <border>
      <right/>
    </border>
    <border>
      <right style="thin">
        <color rgb="FFF3F3F3"/>
      </right>
    </border>
    <border>
      <left style="thin">
        <color rgb="FFF3F3F3"/>
      </left>
    </border>
    <border>
      <left style="thin">
        <color rgb="FF000000"/>
      </left>
      <right style="thin">
        <color rgb="FF000000"/>
      </right>
      <top style="double">
        <color rgb="FFFFFFFF"/>
      </top>
      <bottom style="thin">
        <color rgb="FF000000"/>
      </bottom>
    </border>
    <border>
      <top style="double">
        <color rgb="FF000000"/>
      </top>
    </border>
    <border>
      <right style="thin">
        <color rgb="FFFD8C24"/>
      </right>
    </border>
    <border>
      <left style="thin">
        <color rgb="FFFD8C24"/>
      </left>
    </border>
    <border>
      <right style="medium">
        <color rgb="FFFFFFFF"/>
      </right>
    </border>
    <border>
      <right style="medium">
        <color rgb="FF000000"/>
      </right>
      <top style="thin">
        <color rgb="FF000000"/>
      </top>
    </border>
    <border>
      <left style="dotted">
        <color rgb="FFFFFFFF"/>
      </left>
      <right style="medium">
        <color rgb="FF000000"/>
      </right>
    </border>
    <border>
      <left style="dotted">
        <color rgb="FFFFFFFF"/>
      </left>
    </border>
    <border>
      <left style="medium">
        <color rgb="FF000000"/>
      </left>
      <bottom style="thin">
        <color rgb="FF000000"/>
      </bottom>
    </border>
    <border>
      <left style="medium">
        <color rgb="FF000000"/>
      </left>
      <top style="thin">
        <color rgb="FF000000"/>
      </top>
    </border>
    <border>
      <left style="medium">
        <color rgb="FF000000"/>
      </left>
      <right style="thin">
        <color rgb="FF000000"/>
      </right>
      <bottom style="thin">
        <color rgb="FF000000"/>
      </bottom>
    </border>
    <border>
      <left style="dotted">
        <color rgb="FFFFFFFF"/>
      </left>
      <bottom style="thin">
        <color rgb="FF000000"/>
      </bottom>
    </border>
    <border>
      <left style="dotted">
        <color rgb="FF000000"/>
      </left>
    </border>
    <border>
      <left style="dotted">
        <color rgb="FF000000"/>
      </left>
      <bottom style="thin">
        <color rgb="FF000000"/>
      </bottom>
    </border>
    <border>
      <left style="dotted">
        <color rgb="FFF1C232"/>
      </left>
    </border>
    <border>
      <left style="medium">
        <color rgb="FF000000"/>
      </left>
      <right style="thin">
        <color rgb="FF000000"/>
      </right>
      <top style="thin">
        <color rgb="FF000000"/>
      </top>
    </border>
    <border>
      <left style="dotted">
        <color rgb="FFFF9900"/>
      </left>
    </border>
    <border>
      <left style="medium">
        <color rgb="FF000000"/>
      </left>
      <top style="thin">
        <color rgb="FF000000"/>
      </top>
      <bottom style="thin">
        <color rgb="FF000000"/>
      </bottom>
    </border>
    <border>
      <left style="thin">
        <color rgb="FFF3F3F3"/>
      </left>
      <top style="thin">
        <color rgb="FFF3F3F3"/>
      </top>
      <bottom style="thin">
        <color rgb="FF000000"/>
      </bottom>
    </border>
    <border>
      <right style="thin">
        <color rgb="FFF3F3F3"/>
      </right>
      <top style="thin">
        <color rgb="FFF3F3F3"/>
      </top>
    </border>
    <border>
      <left style="medium">
        <color rgb="FF000000"/>
      </left>
      <top style="thick">
        <color rgb="FF000000"/>
      </top>
      <bottom style="medium">
        <color rgb="FF000000"/>
      </bottom>
    </border>
    <border>
      <right style="medium">
        <color rgb="FF000000"/>
      </right>
      <top style="thick">
        <color rgb="FF000000"/>
      </top>
      <bottom style="medium">
        <color rgb="FF000000"/>
      </bottom>
    </border>
    <border>
      <top style="thick">
        <color rgb="FF000000"/>
      </top>
    </border>
    <border>
      <left style="medium">
        <color rgb="FF000000"/>
      </left>
      <top style="thick">
        <color rgb="FF000000"/>
      </top>
    </border>
    <border>
      <right style="medium">
        <color rgb="FF000000"/>
      </right>
      <top style="thick">
        <color rgb="FF000000"/>
      </top>
    </border>
    <border>
      <top style="thick">
        <color rgb="FF000000"/>
      </top>
      <bottom style="thin">
        <color rgb="FF000000"/>
      </bottom>
    </border>
    <border>
      <right style="medium">
        <color rgb="FF000000"/>
      </right>
      <top style="thick">
        <color rgb="FF000000"/>
      </top>
      <bottom style="thin">
        <color rgb="FF000000"/>
      </bottom>
    </border>
    <border>
      <right style="thin">
        <color rgb="FF000000"/>
      </right>
      <top style="thick">
        <color rgb="FF000000"/>
      </top>
      <bottom style="thin">
        <color rgb="FF000000"/>
      </bottom>
    </border>
    <border>
      <left style="medium">
        <color rgb="FF000000"/>
      </left>
      <right style="thin">
        <color rgb="FF000000"/>
      </right>
      <top style="thin">
        <color rgb="FF000000"/>
      </top>
      <bottom style="thin">
        <color rgb="FF000000"/>
      </bottom>
    </border>
    <border>
      <left style="dotted">
        <color rgb="FF000000"/>
      </left>
      <top style="thin">
        <color rgb="FF000000"/>
      </top>
      <bottom style="thin">
        <color rgb="FF000000"/>
      </bottom>
    </border>
    <border>
      <left style="medium">
        <color rgb="FF000000"/>
      </left>
      <right style="thin">
        <color rgb="FFF3F3F3"/>
      </right>
      <top style="thin">
        <color rgb="FFF3F3F3"/>
      </top>
    </border>
    <border>
      <right style="thin">
        <color rgb="FFF3F3F3"/>
      </right>
      <bottom style="thin">
        <color rgb="FF000000"/>
      </bottom>
    </border>
    <border>
      <left style="medium">
        <color rgb="FF000000"/>
      </left>
      <right style="medium">
        <color rgb="FF000000"/>
      </right>
      <top style="thick">
        <color rgb="FF000000"/>
      </top>
      <bottom style="medium">
        <color rgb="FF000000"/>
      </bottom>
    </border>
    <border>
      <left style="medium">
        <color rgb="FF000000"/>
      </left>
      <right style="thin">
        <color rgb="FFF3F3F3"/>
      </right>
    </border>
    <border>
      <right style="thick">
        <color rgb="FF000000"/>
      </right>
      <top style="thick">
        <color rgb="FF000000"/>
      </top>
    </border>
    <border>
      <right style="thick">
        <color rgb="FF000000"/>
      </right>
    </border>
    <border>
      <left style="thick">
        <color rgb="FF000000"/>
      </left>
    </border>
    <border>
      <left style="thin">
        <color rgb="FF000000"/>
      </left>
      <right style="thin">
        <color rgb="FF000000"/>
      </right>
      <bottom style="thick">
        <color rgb="FF000000"/>
      </bottom>
    </border>
    <border>
      <right style="double">
        <color rgb="FF000000"/>
      </right>
    </border>
    <border>
      <bottom style="double">
        <color rgb="FF000000"/>
      </bottom>
    </border>
    <border>
      <right style="double">
        <color rgb="FF000000"/>
      </right>
      <bottom style="double">
        <color rgb="FF000000"/>
      </bottom>
    </border>
    <border>
      <left style="medium">
        <color rgb="FF000000"/>
      </left>
      <right style="dotted">
        <color rgb="FF000000"/>
      </right>
      <top style="medium">
        <color rgb="FF000000"/>
      </top>
      <bottom style="medium">
        <color rgb="FF000000"/>
      </bottom>
    </border>
    <border>
      <right style="thin">
        <color rgb="FFF3F3F3"/>
      </right>
      <bottom style="thin">
        <color rgb="FFF3F3F3"/>
      </bottom>
    </border>
    <border>
      <top style="thin">
        <color rgb="FF000000"/>
      </top>
      <bottom style="thin">
        <color rgb="FFF3F3F3"/>
      </bottom>
    </border>
    <border>
      <right style="thin">
        <color rgb="FFF3F3F3"/>
      </right>
      <top style="thin">
        <color rgb="FF000000"/>
      </top>
      <bottom style="thin">
        <color rgb="FFF3F3F3"/>
      </bottom>
    </border>
    <border>
      <top style="medium">
        <color rgb="FF000000"/>
      </top>
      <bottom style="thin">
        <color rgb="FFF3F3F3"/>
      </bottom>
    </border>
    <border>
      <right style="medium">
        <color rgb="FF000000"/>
      </right>
      <top style="medium">
        <color rgb="FF000000"/>
      </top>
      <bottom style="thin">
        <color rgb="FFF3F3F3"/>
      </bottom>
    </border>
    <border>
      <left style="thin">
        <color rgb="FF000000"/>
      </left>
      <top style="thin">
        <color rgb="FF000000"/>
      </top>
      <bottom style="thin">
        <color rgb="FFF3F3F3"/>
      </bottom>
    </border>
    <border>
      <right style="medium">
        <color rgb="FF000000"/>
      </right>
      <top style="thin">
        <color rgb="FF000000"/>
      </top>
      <bottom style="thin">
        <color rgb="FFF3F3F3"/>
      </bottom>
    </border>
    <border>
      <right style="thin">
        <color rgb="FFF3F3F3"/>
      </right>
      <top style="thin">
        <color rgb="FF000000"/>
      </top>
    </border>
    <border>
      <left style="thin">
        <color rgb="FF008000"/>
      </left>
    </border>
    <border>
      <left style="thin">
        <color rgb="FF008000"/>
      </left>
      <bottom style="thin">
        <color rgb="FFF3F3F3"/>
      </bottom>
    </border>
    <border>
      <left style="thin">
        <color rgb="FF00A651"/>
      </left>
      <bottom style="thin">
        <color rgb="FFF3F3F3"/>
      </bottom>
    </border>
    <border>
      <left style="thin">
        <color rgb="FF000000"/>
      </left>
      <bottom style="thin">
        <color rgb="FFF3F3F3"/>
      </bottom>
    </border>
    <border>
      <left/>
      <top/>
      <bottom/>
    </border>
    <border>
      <right/>
      <top/>
      <bottom/>
    </border>
    <border>
      <left style="thin">
        <color rgb="FF000000"/>
      </left>
      <top/>
      <bottom/>
    </border>
    <border>
      <top/>
      <bottom/>
    </border>
    <border>
      <left/>
      <right/>
      <top/>
      <bottom/>
    </border>
    <border>
      <left style="thin">
        <color rgb="FF000000"/>
      </left>
      <right style="thin">
        <color rgb="FF000000"/>
      </right>
      <top/>
      <bottom/>
    </border>
    <border>
      <right style="medium">
        <color rgb="FF000000"/>
      </right>
      <top/>
      <bottom/>
    </border>
    <border>
      <left style="thin">
        <color rgb="FF000000"/>
      </left>
      <top/>
    </border>
    <border>
      <right/>
      <top/>
    </border>
    <border>
      <left/>
      <right/>
      <top/>
    </border>
    <border>
      <left/>
      <right style="thin">
        <color rgb="FF000000"/>
      </right>
      <top/>
    </border>
    <border>
      <left style="thin">
        <color rgb="FF000000"/>
      </left>
      <right/>
      <top/>
    </border>
    <border>
      <left/>
      <top/>
    </border>
    <border>
      <left style="thin">
        <color rgb="FF000000"/>
      </left>
      <right style="thin">
        <color rgb="FF000000"/>
      </right>
      <top/>
    </border>
    <border>
      <left/>
      <right style="medium">
        <color rgb="FF000000"/>
      </right>
      <top/>
    </border>
    <border>
      <left style="thin">
        <color rgb="FF000000"/>
      </left>
      <right/>
      <top style="thick">
        <color rgb="FF000000"/>
      </top>
      <bottom/>
    </border>
    <border>
      <left/>
      <right style="thin">
        <color rgb="FF000000"/>
      </right>
      <top style="thick">
        <color rgb="FF000000"/>
      </top>
    </border>
    <border>
      <left style="thin">
        <color rgb="FF000000"/>
      </left>
      <top style="thick">
        <color rgb="FF000000"/>
      </top>
      <bottom/>
    </border>
    <border>
      <top style="thick">
        <color rgb="FF000000"/>
      </top>
      <bottom/>
    </border>
    <border>
      <right style="thin">
        <color rgb="FF000000"/>
      </right>
      <top style="thick">
        <color rgb="FF000000"/>
      </top>
      <bottom/>
    </border>
    <border>
      <left style="thin">
        <color rgb="FF000000"/>
      </left>
      <right/>
      <top style="thick">
        <color rgb="FF000000"/>
      </top>
    </border>
    <border>
      <left/>
      <right/>
      <top style="thick">
        <color rgb="FF000000"/>
      </top>
      <bottom/>
    </border>
    <border>
      <left/>
      <right/>
      <top style="thick">
        <color rgb="FF000000"/>
      </top>
    </border>
    <border>
      <left style="thin">
        <color rgb="FF000000"/>
      </left>
      <top style="thick">
        <color rgb="FF000000"/>
      </top>
    </border>
    <border>
      <right/>
      <top style="thick">
        <color rgb="FF000000"/>
      </top>
    </border>
    <border>
      <left/>
      <right style="thick">
        <color rgb="FF000000"/>
      </right>
      <top style="thick">
        <color rgb="FF000000"/>
      </top>
      <bottom/>
    </border>
    <border>
      <left/>
      <right style="thin">
        <color rgb="FF000000"/>
      </right>
    </border>
    <border>
      <left style="thin">
        <color rgb="FF000000"/>
      </left>
      <right/>
    </border>
    <border>
      <left/>
      <right/>
    </border>
    <border>
      <left style="thin">
        <color rgb="FF000000"/>
      </left>
      <right/>
      <top/>
      <bottom/>
    </border>
    <border>
      <left/>
      <right style="thick">
        <color rgb="FF000000"/>
      </right>
      <top/>
      <bottom/>
    </border>
    <border>
      <bottom style="dotted">
        <color rgb="FF000000"/>
      </bottom>
    </border>
    <border>
      <left/>
      <right style="thin">
        <color rgb="FF000000"/>
      </right>
      <bottom style="dotted">
        <color rgb="FF000000"/>
      </bottom>
    </border>
    <border>
      <left/>
      <right/>
      <top/>
      <bottom style="dotted">
        <color rgb="FF000000"/>
      </bottom>
    </border>
    <border>
      <left style="thin">
        <color rgb="FF000000"/>
      </left>
      <right/>
      <bottom style="dotted">
        <color rgb="FF000000"/>
      </bottom>
    </border>
    <border>
      <left/>
      <right/>
      <bottom style="dotted">
        <color rgb="FF000000"/>
      </bottom>
    </border>
    <border>
      <left style="thin">
        <color rgb="FF000000"/>
      </left>
      <right/>
      <top/>
      <bottom style="dotted">
        <color rgb="FF000000"/>
      </bottom>
    </border>
    <border>
      <right/>
      <bottom style="dotted">
        <color rgb="FF000000"/>
      </bottom>
    </border>
    <border>
      <left/>
      <right style="thick">
        <color rgb="FF000000"/>
      </right>
      <top/>
      <bottom style="dotted">
        <color rgb="FF000000"/>
      </bottom>
    </border>
    <border>
      <left/>
      <right/>
      <bottom/>
    </border>
    <border>
      <left style="thin">
        <color rgb="FF000000"/>
      </left>
      <right/>
      <bottom/>
    </border>
    <border>
      <left/>
      <right style="thick">
        <color rgb="FF000000"/>
      </right>
      <bottom/>
    </border>
    <border>
      <left/>
      <right style="thin">
        <color rgb="FF000000"/>
      </right>
      <top style="thick">
        <color rgb="FF000000"/>
      </top>
      <bottom/>
    </border>
    <border>
      <left style="thin">
        <color rgb="FF000000"/>
      </left>
      <right style="thin">
        <color rgb="FF000000"/>
      </right>
      <top style="thick">
        <color rgb="FF000000"/>
      </top>
      <bottom/>
    </border>
    <border>
      <left/>
      <right style="thin">
        <color rgb="FF000000"/>
      </right>
      <top/>
      <bottom/>
    </border>
    <border>
      <left/>
      <right style="thin">
        <color rgb="FF000000"/>
      </right>
      <top/>
      <bottom style="dotted">
        <color rgb="FF000000"/>
      </bottom>
    </border>
    <border>
      <left style="thin">
        <color rgb="FF000000"/>
      </left>
      <right style="thin">
        <color rgb="FF000000"/>
      </right>
      <top/>
      <bottom style="dotted">
        <color rgb="FF000000"/>
      </bottom>
    </border>
    <border>
      <left/>
      <right style="thin">
        <color rgb="FF000000"/>
      </right>
      <bottom/>
    </border>
    <border>
      <left style="thin">
        <color rgb="FF000000"/>
      </left>
      <right style="thin">
        <color rgb="FF000000"/>
      </right>
      <bottom/>
    </border>
    <border>
      <left style="thin">
        <color rgb="FF000000"/>
      </left>
      <right/>
      <top style="medium">
        <color rgb="FF000000"/>
      </top>
    </border>
    <border>
      <right style="thin">
        <color rgb="FF000000"/>
      </right>
      <top style="thick">
        <color rgb="FF000000"/>
      </top>
    </border>
    <border>
      <right style="thin">
        <color rgb="FF000000"/>
      </right>
      <bottom style="dotted">
        <color rgb="FF000000"/>
      </bottom>
    </border>
    <border>
      <left style="thin">
        <color rgb="FF000000"/>
      </left>
      <right/>
      <top style="thin">
        <color rgb="FF000000"/>
      </top>
      <bottom/>
    </border>
    <border>
      <left style="thin">
        <color rgb="FF000000"/>
      </left>
      <right/>
      <top/>
      <bottom style="thin">
        <color rgb="FF000000"/>
      </bottom>
    </border>
    <border>
      <right/>
      <top style="thick">
        <color rgb="FF000000"/>
      </top>
      <bottom/>
    </border>
    <border>
      <left style="thin">
        <color rgb="FF000000"/>
      </left>
      <top/>
      <bottom style="dotted">
        <color rgb="FF000000"/>
      </bottom>
    </border>
    <border>
      <top/>
      <bottom style="dotted">
        <color rgb="FF000000"/>
      </bottom>
    </border>
    <border>
      <right/>
      <top/>
      <bottom style="dotted">
        <color rgb="FF000000"/>
      </bottom>
    </border>
    <border>
      <left style="thin">
        <color rgb="FF000000"/>
      </left>
      <bottom/>
    </border>
    <border>
      <bottom/>
    </border>
    <border>
      <right/>
      <bottom/>
    </border>
    <border>
      <left/>
      <right/>
      <bottom style="thick">
        <color rgb="FF000000"/>
      </bottom>
    </border>
    <border>
      <left/>
      <right/>
      <top/>
      <bottom style="thick">
        <color rgb="FF000000"/>
      </bottom>
    </border>
    <border>
      <left/>
      <right style="thin">
        <color rgb="FF000000"/>
      </right>
      <top/>
      <bottom style="thick">
        <color rgb="FF000000"/>
      </bottom>
    </border>
    <border>
      <left style="thin">
        <color rgb="FF000000"/>
      </left>
      <right/>
      <top/>
      <bottom style="thick">
        <color rgb="FF000000"/>
      </bottom>
    </border>
    <border>
      <left style="thin">
        <color rgb="FF000000"/>
      </left>
      <top/>
      <bottom style="thick">
        <color rgb="FF000000"/>
      </bottom>
    </border>
    <border>
      <top/>
      <bottom style="thick">
        <color rgb="FF000000"/>
      </bottom>
    </border>
    <border>
      <right/>
      <top/>
      <bottom style="thick">
        <color rgb="FF000000"/>
      </bottom>
    </border>
    <border>
      <left style="thin">
        <color rgb="FF000000"/>
      </left>
      <right style="thin">
        <color rgb="FF000000"/>
      </right>
      <top/>
      <bottom style="thick">
        <color rgb="FF000000"/>
      </bottom>
    </border>
    <border>
      <left/>
      <right style="thick">
        <color rgb="FF000000"/>
      </right>
      <top/>
      <bottom style="thick">
        <color rgb="FF000000"/>
      </bottom>
    </border>
    <border>
      <right style="thick">
        <color rgb="FFFFFFFF"/>
      </right>
    </border>
    <border>
      <left style="thin">
        <color rgb="FF000000"/>
      </left>
      <right style="thin">
        <color rgb="FF000000"/>
      </right>
      <top style="thin">
        <color rgb="FF000000"/>
      </top>
      <bottom style="medium">
        <color rgb="FF000000"/>
      </bottom>
    </border>
    <border>
      <left style="thin">
        <color rgb="FF000000"/>
      </left>
      <top style="thin">
        <color rgb="FF000000"/>
      </top>
      <bottom style="medium">
        <color rgb="FF000000"/>
      </bottom>
    </border>
    <border>
      <top style="thin">
        <color rgb="FF000000"/>
      </top>
      <bottom style="medium">
        <color rgb="FF000000"/>
      </bottom>
    </border>
    <border>
      <left style="thin">
        <color rgb="FF000000"/>
      </left>
      <top style="thin">
        <color rgb="FF000000"/>
      </top>
      <bottom style="thick">
        <color rgb="FF000000"/>
      </bottom>
    </border>
    <border>
      <left style="thin">
        <color rgb="FF000000"/>
      </left>
      <right style="thin">
        <color rgb="FF000000"/>
      </right>
      <top style="thin">
        <color rgb="FF000000"/>
      </top>
      <bottom style="thick">
        <color rgb="FF000000"/>
      </bottom>
    </border>
    <border>
      <left style="thick">
        <color rgb="FF000000"/>
      </left>
      <top style="thick">
        <color rgb="FF000000"/>
      </top>
    </border>
    <border>
      <left style="thick">
        <color rgb="FF000000"/>
      </left>
      <bottom style="medium">
        <color rgb="FF000000"/>
      </bottom>
    </border>
    <border>
      <right style="thick">
        <color rgb="FF000000"/>
      </right>
      <bottom style="medium">
        <color rgb="FF000000"/>
      </bottom>
    </border>
    <border>
      <left style="thick">
        <color rgb="FF000000"/>
      </left>
      <right style="thick">
        <color rgb="FF000000"/>
      </right>
      <top style="thick">
        <color rgb="FF000000"/>
      </top>
    </border>
    <border>
      <left style="thick">
        <color rgb="FF000000"/>
      </left>
      <right style="thick">
        <color rgb="FF000000"/>
      </right>
    </border>
    <border>
      <left style="thick">
        <color rgb="FF000000"/>
      </left>
      <right style="thick">
        <color rgb="FF000000"/>
      </right>
      <bottom style="thick">
        <color rgb="FF000000"/>
      </bottom>
    </border>
    <border>
      <left style="thick">
        <color rgb="FF000000"/>
      </left>
      <right style="thick">
        <color rgb="FF000000"/>
      </right>
      <bottom style="thin">
        <color rgb="FF000000"/>
      </bottom>
    </border>
    <border>
      <left style="thick">
        <color rgb="FF000000"/>
      </left>
      <right style="thick">
        <color rgb="FF000000"/>
      </right>
      <top style="thin">
        <color rgb="FF000000"/>
      </top>
      <bottom style="thin">
        <color rgb="FF000000"/>
      </bottom>
    </border>
    <border>
      <left style="thick">
        <color rgb="FF000000"/>
      </left>
      <right style="thick">
        <color rgb="FF000000"/>
      </right>
      <top style="thin">
        <color rgb="FF000000"/>
      </top>
    </border>
    <border>
      <left style="thick">
        <color rgb="FF000000"/>
      </left>
      <right style="thick">
        <color rgb="FF000000"/>
      </right>
      <top style="thin">
        <color rgb="FF000000"/>
      </top>
      <bottom style="thick">
        <color rgb="FF000000"/>
      </bottom>
    </border>
    <border>
      <left style="thick">
        <color rgb="FF000000"/>
      </left>
      <right style="thick">
        <color rgb="FF000000"/>
      </right>
      <top style="thin">
        <color rgb="FF000000"/>
      </top>
      <bottom style="medium">
        <color rgb="FF000000"/>
      </bottom>
    </border>
    <border>
      <right style="medium">
        <color rgb="FF434343"/>
      </right>
      <bottom style="medium">
        <color rgb="FF000000"/>
      </bottom>
    </border>
    <border>
      <left style="thin">
        <color rgb="FF000000"/>
      </left>
      <right style="thin">
        <color rgb="FF000000"/>
      </right>
      <top style="medium">
        <color rgb="FF000000"/>
      </top>
      <bottom style="medium">
        <color rgb="FF000000"/>
      </bottom>
    </border>
    <border>
      <left style="thin">
        <color rgb="FF000000"/>
      </left>
      <right style="medium">
        <color rgb="FF000000"/>
      </right>
      <top style="medium">
        <color rgb="FF000000"/>
      </top>
      <bottom style="medium">
        <color rgb="FF000000"/>
      </bottom>
    </border>
    <border>
      <left style="thin">
        <color rgb="FF000000"/>
      </left>
      <right style="medium">
        <color rgb="FF000000"/>
      </right>
      <top style="thin">
        <color rgb="FF000000"/>
      </top>
    </border>
    <border>
      <left style="thin">
        <color rgb="FF000000"/>
      </left>
      <right style="thin">
        <color rgb="FF000000"/>
      </right>
      <top style="medium">
        <color rgb="FF000000"/>
      </top>
    </border>
    <border>
      <right style="medium">
        <color rgb="FF434343"/>
      </right>
    </border>
    <border>
      <right style="thick">
        <color rgb="FF434343"/>
      </right>
    </border>
    <border>
      <left style="thin">
        <color rgb="FF000000"/>
      </left>
      <bottom style="medium">
        <color rgb="FF434343"/>
      </bottom>
    </border>
    <border>
      <bottom style="medium">
        <color rgb="FF434343"/>
      </bottom>
    </border>
    <border>
      <right style="medium">
        <color rgb="FF434343"/>
      </right>
      <bottom style="medium">
        <color rgb="FF434343"/>
      </bottom>
    </border>
    <border>
      <right style="thick">
        <color rgb="FF434343"/>
      </right>
      <bottom style="thick">
        <color rgb="FF434343"/>
      </bottom>
    </border>
    <border>
      <right style="medium">
        <color rgb="FF434343"/>
      </right>
      <bottom style="thick">
        <color rgb="FF434343"/>
      </bottom>
    </border>
    <border>
      <left style="medium">
        <color rgb="FF000000"/>
      </left>
      <right style="medium">
        <color rgb="FF000000"/>
      </right>
      <bottom style="thick">
        <color rgb="FF000000"/>
      </bottom>
    </border>
    <border>
      <right style="thick">
        <color rgb="FF434343"/>
      </right>
      <bottom style="thick">
        <color rgb="FF000000"/>
      </bottom>
    </border>
    <border>
      <right style="medium">
        <color rgb="FF434343"/>
      </right>
      <bottom style="thick">
        <color rgb="FF000000"/>
      </bottom>
    </border>
    <border>
      <left style="thin">
        <color rgb="FF000000"/>
      </left>
      <top style="medium">
        <color rgb="FF000000"/>
      </top>
      <bottom style="thin">
        <color rgb="FF000000"/>
      </bottom>
    </border>
    <border>
      <right style="thin">
        <color rgb="FFF3F3F3"/>
      </right>
      <top style="medium">
        <color rgb="FF000000"/>
      </top>
    </border>
    <border>
      <left style="thin">
        <color rgb="FF000000"/>
      </left>
      <right style="thin">
        <color rgb="FFFFFFFF"/>
      </right>
      <top style="medium">
        <color rgb="FF000000"/>
      </top>
      <bottom style="medium">
        <color rgb="FF000000"/>
      </bottom>
    </border>
    <border>
      <left style="thin">
        <color rgb="FFFFFFFF"/>
      </left>
      <right style="thin">
        <color rgb="FFFFFFFF"/>
      </right>
      <top style="medium">
        <color rgb="FF000000"/>
      </top>
      <bottom style="medium">
        <color rgb="FF000000"/>
      </bottom>
    </border>
    <border>
      <left style="thin">
        <color rgb="FFFFFFFF"/>
      </left>
      <right style="thin">
        <color rgb="FF000000"/>
      </right>
      <top style="medium">
        <color rgb="FF000000"/>
      </top>
    </border>
    <border>
      <top style="medium">
        <color rgb="FF000000"/>
      </top>
      <bottom style="thick">
        <color rgb="FF000000"/>
      </bottom>
    </border>
    <border>
      <left style="thin">
        <color rgb="FF000000"/>
      </left>
      <right style="thin">
        <color rgb="FF000000"/>
      </right>
      <top style="thick">
        <color rgb="FF000000"/>
      </top>
    </border>
  </borders>
  <cellStyleXfs count="1">
    <xf borderId="0" fillId="0" fontId="0" numFmtId="0" applyAlignment="1" applyFont="1"/>
  </cellStyleXfs>
  <cellXfs count="293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3" fontId="2" numFmtId="0" xfId="0" applyAlignment="1" applyBorder="1" applyFill="1" applyFont="1">
      <alignment horizontal="center" readingOrder="0" vertical="center"/>
    </xf>
    <xf borderId="3" fillId="0" fontId="3" numFmtId="0" xfId="0" applyBorder="1" applyFont="1"/>
    <xf borderId="4" fillId="0" fontId="3" numFmtId="0" xfId="0" applyBorder="1" applyFont="1"/>
    <xf borderId="5" fillId="2" fontId="1" numFmtId="0" xfId="0" applyAlignment="1" applyBorder="1" applyFont="1">
      <alignment horizontal="center" readingOrder="0" vertical="center"/>
    </xf>
    <xf borderId="6" fillId="3" fontId="2" numFmtId="0" xfId="0" applyAlignment="1" applyBorder="1" applyFont="1">
      <alignment horizontal="center" readingOrder="0" vertical="center"/>
    </xf>
    <xf borderId="7" fillId="0" fontId="3" numFmtId="0" xfId="0" applyBorder="1" applyFont="1"/>
    <xf borderId="8" fillId="0" fontId="3" numFmtId="0" xfId="0" applyBorder="1" applyFont="1"/>
    <xf borderId="9" fillId="2" fontId="1" numFmtId="0" xfId="0" applyAlignment="1" applyBorder="1" applyFont="1">
      <alignment horizontal="center" readingOrder="0" vertical="center"/>
    </xf>
    <xf borderId="10" fillId="2" fontId="1" numFmtId="0" xfId="0" applyAlignment="1" applyBorder="1" applyFont="1">
      <alignment horizontal="center" readingOrder="0" vertical="center"/>
    </xf>
    <xf borderId="11" fillId="2" fontId="1" numFmtId="0" xfId="0" applyAlignment="1" applyBorder="1" applyFont="1">
      <alignment horizontal="center" readingOrder="0" vertical="center"/>
    </xf>
    <xf borderId="12" fillId="2" fontId="1" numFmtId="0" xfId="0" applyAlignment="1" applyBorder="1" applyFont="1">
      <alignment horizontal="center" readingOrder="0" vertical="center"/>
    </xf>
    <xf borderId="13" fillId="3" fontId="4" numFmtId="0" xfId="0" applyAlignment="1" applyBorder="1" applyFont="1">
      <alignment horizontal="center" readingOrder="0" vertical="center"/>
    </xf>
    <xf borderId="14" fillId="2" fontId="1" numFmtId="0" xfId="0" applyAlignment="1" applyBorder="1" applyFont="1">
      <alignment horizontal="center" readingOrder="0" vertical="center"/>
    </xf>
    <xf borderId="15" fillId="3" fontId="4" numFmtId="0" xfId="0" applyAlignment="1" applyBorder="1" applyFont="1">
      <alignment horizontal="center" readingOrder="0" vertical="center"/>
    </xf>
    <xf borderId="16" fillId="0" fontId="3" numFmtId="0" xfId="0" applyBorder="1" applyFont="1"/>
    <xf borderId="17" fillId="0" fontId="3" numFmtId="0" xfId="0" applyBorder="1" applyFont="1"/>
    <xf borderId="13" fillId="3" fontId="5" numFmtId="0" xfId="0" applyAlignment="1" applyBorder="1" applyFont="1">
      <alignment horizontal="center" readingOrder="0" vertical="center"/>
    </xf>
    <xf borderId="18" fillId="3" fontId="4" numFmtId="0" xfId="0" applyAlignment="1" applyBorder="1" applyFont="1">
      <alignment horizontal="center" readingOrder="0" vertical="center"/>
    </xf>
    <xf borderId="19" fillId="0" fontId="3" numFmtId="0" xfId="0" applyBorder="1" applyFont="1"/>
    <xf borderId="20" fillId="0" fontId="3" numFmtId="0" xfId="0" applyBorder="1" applyFont="1"/>
    <xf borderId="21" fillId="2" fontId="1" numFmtId="0" xfId="0" applyAlignment="1" applyBorder="1" applyFont="1">
      <alignment horizontal="center" readingOrder="0" vertical="center"/>
    </xf>
    <xf borderId="22" fillId="0" fontId="6" numFmtId="0" xfId="0" applyAlignment="1" applyBorder="1" applyFont="1">
      <alignment horizontal="center" readingOrder="0" vertical="center"/>
    </xf>
    <xf borderId="7" fillId="0" fontId="6" numFmtId="0" xfId="0" applyAlignment="1" applyBorder="1" applyFont="1">
      <alignment horizontal="center" readingOrder="0" vertical="center"/>
    </xf>
    <xf borderId="23" fillId="0" fontId="6" numFmtId="0" xfId="0" applyAlignment="1" applyBorder="1" applyFont="1">
      <alignment horizontal="center" readingOrder="0" vertical="center"/>
    </xf>
    <xf borderId="24" fillId="0" fontId="3" numFmtId="0" xfId="0" applyBorder="1" applyFont="1"/>
    <xf borderId="25" fillId="0" fontId="3" numFmtId="0" xfId="0" applyBorder="1" applyFont="1"/>
    <xf borderId="26" fillId="4" fontId="7" numFmtId="0" xfId="0" applyAlignment="1" applyBorder="1" applyFill="1" applyFont="1">
      <alignment horizontal="center" readingOrder="0" vertical="center"/>
    </xf>
    <xf borderId="26" fillId="4" fontId="8" numFmtId="0" xfId="0" applyAlignment="1" applyBorder="1" applyFont="1">
      <alignment horizontal="center" readingOrder="0" vertical="center"/>
    </xf>
    <xf borderId="26" fillId="0" fontId="9" numFmtId="0" xfId="0" applyAlignment="1" applyBorder="1" applyFont="1">
      <alignment horizontal="center" vertical="center"/>
    </xf>
    <xf borderId="27" fillId="5" fontId="4" numFmtId="0" xfId="0" applyAlignment="1" applyBorder="1" applyFill="1" applyFont="1">
      <alignment readingOrder="0" vertical="bottom"/>
    </xf>
    <xf borderId="27" fillId="5" fontId="4" numFmtId="0" xfId="0" applyAlignment="1" applyBorder="1" applyFont="1">
      <alignment horizontal="center" readingOrder="0" vertical="bottom"/>
    </xf>
    <xf borderId="17" fillId="5" fontId="4" numFmtId="0" xfId="0" applyAlignment="1" applyBorder="1" applyFont="1">
      <alignment horizontal="center" readingOrder="0"/>
    </xf>
    <xf borderId="26" fillId="5" fontId="10" numFmtId="0" xfId="0" applyAlignment="1" applyBorder="1" applyFont="1">
      <alignment horizontal="center" readingOrder="0" vertical="center"/>
    </xf>
    <xf borderId="26" fillId="5" fontId="4" numFmtId="0" xfId="0" applyAlignment="1" applyBorder="1" applyFont="1">
      <alignment horizontal="center" readingOrder="0" vertical="center"/>
    </xf>
    <xf borderId="18" fillId="6" fontId="11" numFmtId="0" xfId="0" applyAlignment="1" applyBorder="1" applyFill="1" applyFont="1">
      <alignment horizontal="center" readingOrder="0" vertical="center"/>
    </xf>
    <xf borderId="26" fillId="7" fontId="5" numFmtId="0" xfId="0" applyAlignment="1" applyBorder="1" applyFill="1" applyFont="1">
      <alignment horizontal="center" readingOrder="0" vertical="center"/>
    </xf>
    <xf borderId="26" fillId="8" fontId="5" numFmtId="0" xfId="0" applyAlignment="1" applyBorder="1" applyFill="1" applyFont="1">
      <alignment horizontal="center" readingOrder="0" vertical="center"/>
    </xf>
    <xf borderId="10" fillId="2" fontId="12" numFmtId="0" xfId="0" applyAlignment="1" applyBorder="1" applyFont="1">
      <alignment horizontal="center" readingOrder="0" vertical="center"/>
    </xf>
    <xf borderId="28" fillId="2" fontId="13" numFmtId="0" xfId="0" applyBorder="1" applyFont="1"/>
    <xf borderId="29" fillId="2" fontId="13" numFmtId="0" xfId="0" applyBorder="1" applyFont="1"/>
    <xf borderId="29" fillId="2" fontId="14" numFmtId="0" xfId="0" applyBorder="1" applyFont="1"/>
    <xf borderId="30" fillId="0" fontId="3" numFmtId="0" xfId="0" applyBorder="1" applyFont="1"/>
    <xf borderId="31" fillId="0" fontId="3" numFmtId="0" xfId="0" applyBorder="1" applyFont="1"/>
    <xf borderId="32" fillId="4" fontId="15" numFmtId="0" xfId="0" applyAlignment="1" applyBorder="1" applyFont="1">
      <alignment horizontal="center" readingOrder="0" vertical="center"/>
    </xf>
    <xf borderId="32" fillId="0" fontId="16" numFmtId="0" xfId="0" applyAlignment="1" applyBorder="1" applyFont="1">
      <alignment horizontal="center" readingOrder="0" vertical="center"/>
    </xf>
    <xf borderId="33" fillId="9" fontId="17" numFmtId="0" xfId="0" applyAlignment="1" applyBorder="1" applyFill="1" applyFont="1">
      <alignment horizontal="center" readingOrder="0" vertical="center"/>
    </xf>
    <xf borderId="33" fillId="9" fontId="17" numFmtId="0" xfId="0" applyAlignment="1" applyBorder="1" applyFont="1">
      <alignment readingOrder="0"/>
    </xf>
    <xf borderId="27" fillId="9" fontId="17" numFmtId="0" xfId="0" applyAlignment="1" applyBorder="1" applyFont="1">
      <alignment horizontal="center" readingOrder="0"/>
    </xf>
    <xf borderId="17" fillId="9" fontId="17" numFmtId="0" xfId="0" applyAlignment="1" applyBorder="1" applyFont="1">
      <alignment horizontal="center" readingOrder="0"/>
    </xf>
    <xf borderId="26" fillId="9" fontId="18" numFmtId="0" xfId="0" applyAlignment="1" applyBorder="1" applyFont="1">
      <alignment horizontal="center" readingOrder="0" vertical="center"/>
    </xf>
    <xf borderId="24" fillId="4" fontId="19" numFmtId="0" xfId="0" applyAlignment="1" applyBorder="1" applyFont="1">
      <alignment horizontal="center" readingOrder="0" vertical="center"/>
    </xf>
    <xf borderId="32" fillId="0" fontId="3" numFmtId="0" xfId="0" applyBorder="1" applyFont="1"/>
    <xf borderId="1" fillId="2" fontId="12" numFmtId="0" xfId="0" applyAlignment="1" applyBorder="1" applyFont="1">
      <alignment horizontal="center" readingOrder="0" vertical="center"/>
    </xf>
    <xf borderId="32" fillId="5" fontId="4" numFmtId="0" xfId="0" applyAlignment="1" applyBorder="1" applyFont="1">
      <alignment horizontal="center" readingOrder="0" vertical="center"/>
    </xf>
    <xf borderId="33" fillId="7" fontId="20" numFmtId="0" xfId="0" applyAlignment="1" applyBorder="1" applyFont="1">
      <alignment horizontal="center" vertical="center"/>
    </xf>
    <xf borderId="34" fillId="7" fontId="21" numFmtId="0" xfId="0" applyBorder="1" applyFont="1"/>
    <xf borderId="35" fillId="7" fontId="21" numFmtId="0" xfId="0" applyAlignment="1" applyBorder="1" applyFont="1">
      <alignment horizontal="center"/>
    </xf>
    <xf borderId="25" fillId="7" fontId="21" numFmtId="0" xfId="0" applyAlignment="1" applyBorder="1" applyFont="1">
      <alignment horizontal="center" readingOrder="0"/>
    </xf>
    <xf borderId="20" fillId="7" fontId="22" numFmtId="0" xfId="0" applyAlignment="1" applyBorder="1" applyFont="1">
      <alignment horizontal="center" readingOrder="0" vertical="center"/>
    </xf>
    <xf borderId="32" fillId="10" fontId="23" numFmtId="0" xfId="0" applyAlignment="1" applyBorder="1" applyFill="1" applyFont="1">
      <alignment horizontal="center" readingOrder="0" vertical="center"/>
    </xf>
    <xf borderId="26" fillId="10" fontId="13" numFmtId="0" xfId="0" applyAlignment="1" applyBorder="1" applyFont="1">
      <alignment horizontal="center" vertical="center"/>
    </xf>
    <xf borderId="27" fillId="10" fontId="23" numFmtId="0" xfId="0" applyAlignment="1" applyBorder="1" applyFont="1">
      <alignment vertical="bottom"/>
    </xf>
    <xf borderId="27" fillId="10" fontId="23" numFmtId="0" xfId="0" applyAlignment="1" applyBorder="1" applyFont="1">
      <alignment horizontal="center" vertical="bottom"/>
    </xf>
    <xf borderId="17" fillId="10" fontId="23" numFmtId="0" xfId="0" applyAlignment="1" applyBorder="1" applyFont="1">
      <alignment horizontal="center" readingOrder="0" vertical="bottom"/>
    </xf>
    <xf borderId="36" fillId="2" fontId="13" numFmtId="0" xfId="0" applyBorder="1" applyFont="1"/>
    <xf borderId="17" fillId="10" fontId="24" numFmtId="0" xfId="0" applyAlignment="1" applyBorder="1" applyFont="1">
      <alignment horizontal="center" readingOrder="0" vertical="center"/>
    </xf>
    <xf borderId="30" fillId="0" fontId="25" numFmtId="0" xfId="0" applyAlignment="1" applyBorder="1" applyFont="1">
      <alignment horizontal="center" readingOrder="0" vertical="bottom"/>
    </xf>
    <xf borderId="13" fillId="11" fontId="5" numFmtId="0" xfId="0" applyAlignment="1" applyBorder="1" applyFill="1" applyFont="1">
      <alignment horizontal="center" vertical="bottom"/>
    </xf>
    <xf borderId="26" fillId="8" fontId="26" numFmtId="0" xfId="0" applyAlignment="1" applyBorder="1" applyFont="1">
      <alignment horizontal="center" readingOrder="0" vertical="center"/>
    </xf>
    <xf borderId="32" fillId="12" fontId="4" numFmtId="0" xfId="0" applyAlignment="1" applyBorder="1" applyFill="1" applyFont="1">
      <alignment horizontal="center" readingOrder="0" vertical="center"/>
    </xf>
    <xf borderId="30" fillId="0" fontId="19" numFmtId="0" xfId="0" applyAlignment="1" applyBorder="1" applyFont="1">
      <alignment horizontal="center" readingOrder="0" vertical="bottom"/>
    </xf>
    <xf borderId="32" fillId="0" fontId="27" numFmtId="0" xfId="0" applyAlignment="1" applyBorder="1" applyFont="1">
      <alignment horizontal="center" vertical="bottom"/>
    </xf>
    <xf borderId="33" fillId="12" fontId="28" numFmtId="0" xfId="0" applyAlignment="1" applyBorder="1" applyFont="1">
      <alignment horizontal="center"/>
    </xf>
    <xf borderId="33" fillId="12" fontId="4" numFmtId="0" xfId="0" applyAlignment="1" applyBorder="1" applyFont="1">
      <alignment readingOrder="0"/>
    </xf>
    <xf borderId="27" fillId="12" fontId="4" numFmtId="0" xfId="0" applyAlignment="1" applyBorder="1" applyFont="1">
      <alignment horizontal="center" readingOrder="0"/>
    </xf>
    <xf borderId="17" fillId="12" fontId="4" numFmtId="0" xfId="0" applyAlignment="1" applyBorder="1" applyFont="1">
      <alignment horizontal="center" readingOrder="0"/>
    </xf>
    <xf borderId="26" fillId="12" fontId="29" numFmtId="0" xfId="0" applyAlignment="1" applyBorder="1" applyFont="1">
      <alignment horizontal="center" readingOrder="0" vertical="center"/>
    </xf>
    <xf borderId="0" fillId="2" fontId="30" numFmtId="0" xfId="0" applyAlignment="1" applyFont="1">
      <alignment horizontal="center" readingOrder="0" shrinkToFit="0" vertical="center" wrapText="1"/>
    </xf>
    <xf borderId="30" fillId="4" fontId="19" numFmtId="0" xfId="0" applyAlignment="1" applyBorder="1" applyFont="1">
      <alignment horizontal="center" readingOrder="0" vertical="bottom"/>
    </xf>
    <xf borderId="26" fillId="4" fontId="18" numFmtId="0" xfId="0" applyAlignment="1" applyBorder="1" applyFont="1">
      <alignment horizontal="center" readingOrder="0" vertical="center"/>
    </xf>
    <xf borderId="33" fillId="13" fontId="28" numFmtId="0" xfId="0" applyAlignment="1" applyBorder="1" applyFill="1" applyFont="1">
      <alignment horizontal="center"/>
    </xf>
    <xf borderId="33" fillId="13" fontId="17" numFmtId="0" xfId="0" applyAlignment="1" applyBorder="1" applyFont="1">
      <alignment readingOrder="0"/>
    </xf>
    <xf borderId="27" fillId="13" fontId="17" numFmtId="0" xfId="0" applyAlignment="1" applyBorder="1" applyFont="1">
      <alignment horizontal="center" readingOrder="0"/>
    </xf>
    <xf borderId="17" fillId="13" fontId="17" numFmtId="0" xfId="0" applyAlignment="1" applyBorder="1" applyFont="1">
      <alignment horizontal="center" readingOrder="0"/>
    </xf>
    <xf borderId="26" fillId="13" fontId="18" numFmtId="0" xfId="0" applyAlignment="1" applyBorder="1" applyFont="1">
      <alignment horizontal="center" readingOrder="0" vertical="center"/>
    </xf>
    <xf borderId="37" fillId="8" fontId="5" numFmtId="0" xfId="0" applyAlignment="1" applyBorder="1" applyFont="1">
      <alignment horizontal="center" readingOrder="0" vertical="center"/>
    </xf>
    <xf borderId="38" fillId="2" fontId="1" numFmtId="0" xfId="0" applyAlignment="1" applyBorder="1" applyFont="1">
      <alignment horizontal="center" readingOrder="0" vertical="center"/>
    </xf>
    <xf borderId="32" fillId="14" fontId="31" numFmtId="0" xfId="0" applyAlignment="1" applyBorder="1" applyFill="1" applyFont="1">
      <alignment horizontal="center" readingOrder="0" shrinkToFit="0" vertical="center" wrapText="1"/>
    </xf>
    <xf borderId="0" fillId="2" fontId="1" numFmtId="0" xfId="0" applyAlignment="1" applyFont="1">
      <alignment horizontal="center" readingOrder="0" vertical="center"/>
    </xf>
    <xf borderId="0" fillId="2" fontId="19" numFmtId="0" xfId="0" applyAlignment="1" applyFont="1">
      <alignment horizontal="center" readingOrder="0" vertical="center"/>
    </xf>
    <xf borderId="33" fillId="15" fontId="28" numFmtId="0" xfId="0" applyAlignment="1" applyBorder="1" applyFill="1" applyFont="1">
      <alignment horizontal="center"/>
    </xf>
    <xf borderId="33" fillId="15" fontId="28" numFmtId="0" xfId="0" applyAlignment="1" applyBorder="1" applyFont="1">
      <alignment readingOrder="0"/>
    </xf>
    <xf borderId="27" fillId="15" fontId="28" numFmtId="0" xfId="0" applyAlignment="1" applyBorder="1" applyFont="1">
      <alignment horizontal="center" readingOrder="0"/>
    </xf>
    <xf borderId="17" fillId="15" fontId="28" numFmtId="0" xfId="0" applyAlignment="1" applyBorder="1" applyFont="1">
      <alignment horizontal="center" readingOrder="0"/>
    </xf>
    <xf borderId="26" fillId="15" fontId="32" numFmtId="0" xfId="0" applyAlignment="1" applyBorder="1" applyFont="1">
      <alignment horizontal="center" readingOrder="0" vertical="center"/>
    </xf>
    <xf borderId="39" fillId="2" fontId="1" numFmtId="0" xfId="0" applyAlignment="1" applyBorder="1" applyFont="1">
      <alignment horizontal="center" readingOrder="0" vertical="center"/>
    </xf>
    <xf borderId="12" fillId="16" fontId="1" numFmtId="0" xfId="0" applyAlignment="1" applyBorder="1" applyFill="1" applyFont="1">
      <alignment horizontal="center" readingOrder="0" vertical="center"/>
    </xf>
    <xf borderId="0" fillId="16" fontId="33" numFmtId="0" xfId="0" applyAlignment="1" applyFont="1">
      <alignment horizontal="center" readingOrder="0" vertical="center"/>
    </xf>
    <xf borderId="0" fillId="16" fontId="1" numFmtId="0" xfId="0" applyAlignment="1" applyFont="1">
      <alignment horizontal="center" readingOrder="0" vertical="center"/>
    </xf>
    <xf borderId="0" fillId="16" fontId="12" numFmtId="0" xfId="0" applyAlignment="1" applyFont="1">
      <alignment horizontal="center" readingOrder="0" vertical="center"/>
    </xf>
    <xf borderId="0" fillId="2" fontId="17" numFmtId="0" xfId="0" applyAlignment="1" applyFont="1">
      <alignment horizontal="left" readingOrder="0" vertical="center"/>
    </xf>
    <xf borderId="0" fillId="2" fontId="17" numFmtId="0" xfId="0" applyAlignment="1" applyFont="1">
      <alignment horizontal="center" readingOrder="0" vertical="center"/>
    </xf>
    <xf borderId="30" fillId="4" fontId="19" numFmtId="0" xfId="0" applyAlignment="1" applyBorder="1" applyFont="1">
      <alignment horizontal="center" readingOrder="0" vertical="center"/>
    </xf>
    <xf borderId="32" fillId="4" fontId="34" numFmtId="0" xfId="0" applyAlignment="1" applyBorder="1" applyFont="1">
      <alignment horizontal="center" vertical="bottom"/>
    </xf>
    <xf borderId="15" fillId="3" fontId="5" numFmtId="0" xfId="0" applyAlignment="1" applyBorder="1" applyFont="1">
      <alignment horizontal="center" readingOrder="0" vertical="center"/>
    </xf>
    <xf borderId="16" fillId="4" fontId="19" numFmtId="0" xfId="0" applyAlignment="1" applyBorder="1" applyFont="1">
      <alignment horizontal="center" readingOrder="0" vertical="center"/>
    </xf>
    <xf borderId="13" fillId="0" fontId="35" numFmtId="0" xfId="0" applyAlignment="1" applyBorder="1" applyFont="1">
      <alignment horizontal="center"/>
    </xf>
    <xf borderId="15" fillId="4" fontId="36" numFmtId="0" xfId="0" applyAlignment="1" applyBorder="1" applyFont="1">
      <alignment horizontal="center" readingOrder="0" vertical="center"/>
    </xf>
    <xf borderId="40" fillId="17" fontId="5" numFmtId="0" xfId="0" applyAlignment="1" applyBorder="1" applyFill="1" applyFont="1">
      <alignment horizontal="center" readingOrder="0" vertical="center"/>
    </xf>
    <xf borderId="41" fillId="0" fontId="3" numFmtId="0" xfId="0" applyBorder="1" applyFont="1"/>
    <xf borderId="9" fillId="2" fontId="37" numFmtId="0" xfId="0" applyAlignment="1" applyBorder="1" applyFont="1">
      <alignment horizontal="center" readingOrder="0" vertical="center"/>
    </xf>
    <xf borderId="30" fillId="0" fontId="38" numFmtId="0" xfId="0" applyAlignment="1" applyBorder="1" applyFont="1">
      <alignment horizontal="center" readingOrder="0" vertical="center"/>
    </xf>
    <xf borderId="0" fillId="4" fontId="39" numFmtId="0" xfId="0" applyAlignment="1" applyFont="1">
      <alignment vertical="bottom"/>
    </xf>
    <xf borderId="32" fillId="0" fontId="40" numFmtId="0" xfId="0" applyAlignment="1" applyBorder="1" applyFont="1">
      <alignment horizontal="center"/>
    </xf>
    <xf borderId="13" fillId="18" fontId="5" numFmtId="0" xfId="0" applyAlignment="1" applyBorder="1" applyFill="1" applyFont="1">
      <alignment horizontal="center" vertical="bottom"/>
    </xf>
    <xf borderId="0" fillId="2" fontId="41" numFmtId="0" xfId="0" applyAlignment="1" applyFont="1">
      <alignment horizontal="center" readingOrder="0" vertical="center"/>
    </xf>
    <xf borderId="32" fillId="0" fontId="42" numFmtId="0" xfId="0" applyAlignment="1" applyBorder="1" applyFont="1">
      <alignment horizontal="center" readingOrder="0" vertical="bottom"/>
    </xf>
    <xf borderId="32" fillId="0" fontId="43" numFmtId="0" xfId="0" applyAlignment="1" applyBorder="1" applyFont="1">
      <alignment horizontal="center"/>
    </xf>
    <xf borderId="18" fillId="19" fontId="5" numFmtId="0" xfId="0" applyAlignment="1" applyBorder="1" applyFill="1" applyFont="1">
      <alignment horizontal="center" readingOrder="0" vertical="center"/>
    </xf>
    <xf borderId="30" fillId="2" fontId="44" numFmtId="0" xfId="0" applyAlignment="1" applyBorder="1" applyFont="1">
      <alignment horizontal="center" readingOrder="0" vertical="center"/>
    </xf>
    <xf borderId="32" fillId="0" fontId="45" numFmtId="0" xfId="0" applyAlignment="1" applyBorder="1" applyFont="1">
      <alignment horizontal="center" readingOrder="0" vertical="center"/>
    </xf>
    <xf borderId="42" fillId="2" fontId="46" numFmtId="0" xfId="0" applyAlignment="1" applyBorder="1" applyFont="1">
      <alignment horizontal="center" readingOrder="0" vertical="center"/>
    </xf>
    <xf borderId="42" fillId="0" fontId="3" numFmtId="0" xfId="0" applyBorder="1" applyFont="1"/>
    <xf borderId="32" fillId="4" fontId="47" numFmtId="0" xfId="0" applyAlignment="1" applyBorder="1" applyFont="1">
      <alignment horizontal="center" shrinkToFit="0" vertical="bottom" wrapText="1"/>
    </xf>
    <xf borderId="1" fillId="2" fontId="48" numFmtId="0" xfId="0" applyAlignment="1" applyBorder="1" applyFont="1">
      <alignment horizontal="center" readingOrder="0" vertical="bottom"/>
    </xf>
    <xf borderId="43" fillId="2" fontId="13" numFmtId="0" xfId="0" applyAlignment="1" applyBorder="1" applyFont="1">
      <alignment horizontal="right" readingOrder="0" vertical="bottom"/>
    </xf>
    <xf borderId="43" fillId="2" fontId="13" numFmtId="0" xfId="0" applyAlignment="1" applyBorder="1" applyFont="1">
      <alignment vertical="bottom"/>
    </xf>
    <xf borderId="0" fillId="2" fontId="13" numFmtId="0" xfId="0" applyAlignment="1" applyFont="1">
      <alignment vertical="bottom"/>
    </xf>
    <xf borderId="44" fillId="8" fontId="26" numFmtId="0" xfId="0" applyAlignment="1" applyBorder="1" applyFont="1">
      <alignment horizontal="center" readingOrder="0"/>
    </xf>
    <xf borderId="45" fillId="0" fontId="3" numFmtId="0" xfId="0" applyBorder="1" applyFont="1"/>
    <xf borderId="46" fillId="0" fontId="3" numFmtId="0" xfId="0" applyBorder="1" applyFont="1"/>
    <xf borderId="18" fillId="8" fontId="49" numFmtId="0" xfId="0" applyAlignment="1" applyBorder="1" applyFont="1">
      <alignment horizontal="center" readingOrder="0" vertical="center"/>
    </xf>
    <xf borderId="0" fillId="5" fontId="26" numFmtId="0" xfId="0" applyAlignment="1" applyFont="1">
      <alignment horizontal="center" readingOrder="0" vertical="top"/>
    </xf>
    <xf borderId="47" fillId="0" fontId="3" numFmtId="0" xfId="0" applyBorder="1" applyFont="1"/>
    <xf borderId="15" fillId="8" fontId="50" numFmtId="0" xfId="0" applyAlignment="1" applyBorder="1" applyFont="1">
      <alignment horizontal="center" readingOrder="0" vertical="center"/>
    </xf>
    <xf borderId="16" fillId="8" fontId="51" numFmtId="0" xfId="0" applyAlignment="1" applyBorder="1" applyFont="1">
      <alignment horizontal="center" readingOrder="0" vertical="center"/>
    </xf>
    <xf borderId="0" fillId="8" fontId="52" numFmtId="0" xfId="0" applyAlignment="1" applyFont="1">
      <alignment horizontal="center" readingOrder="0" vertical="center"/>
    </xf>
    <xf borderId="48" fillId="8" fontId="29" numFmtId="0" xfId="0" applyAlignment="1" applyBorder="1" applyFont="1">
      <alignment horizontal="center" vertical="bottom"/>
    </xf>
    <xf borderId="49" fillId="8" fontId="29" numFmtId="0" xfId="0" applyAlignment="1" applyBorder="1" applyFont="1">
      <alignment horizontal="center" vertical="bottom"/>
    </xf>
    <xf borderId="17" fillId="8" fontId="29" numFmtId="0" xfId="0" applyAlignment="1" applyBorder="1" applyFont="1">
      <alignment horizontal="center" vertical="bottom"/>
    </xf>
    <xf borderId="50" fillId="20" fontId="53" numFmtId="0" xfId="0" applyAlignment="1" applyBorder="1" applyFill="1" applyFont="1">
      <alignment horizontal="center" vertical="bottom"/>
    </xf>
    <xf borderId="51" fillId="20" fontId="54" numFmtId="0" xfId="0" applyAlignment="1" applyBorder="1" applyFont="1">
      <alignment horizontal="center" vertical="bottom"/>
    </xf>
    <xf borderId="47" fillId="20" fontId="55" numFmtId="0" xfId="0" applyAlignment="1" applyBorder="1" applyFont="1">
      <alignment horizontal="center" vertical="bottom"/>
    </xf>
    <xf borderId="52" fillId="20" fontId="29" numFmtId="0" xfId="0" applyAlignment="1" applyBorder="1" applyFont="1">
      <alignment horizontal="center" readingOrder="0"/>
    </xf>
    <xf borderId="16" fillId="20" fontId="29" numFmtId="0" xfId="0" applyAlignment="1" applyBorder="1" applyFont="1">
      <alignment horizontal="center" readingOrder="0"/>
    </xf>
    <xf borderId="15" fillId="20" fontId="29" numFmtId="0" xfId="0" applyAlignment="1" applyBorder="1" applyFont="1">
      <alignment horizontal="center" readingOrder="0"/>
    </xf>
    <xf borderId="17" fillId="20" fontId="29" numFmtId="0" xfId="0" applyAlignment="1" applyBorder="1" applyFont="1">
      <alignment horizontal="center" readingOrder="0"/>
    </xf>
    <xf borderId="53" fillId="8" fontId="49" numFmtId="0" xfId="0" applyAlignment="1" applyBorder="1" applyFont="1">
      <alignment horizontal="center" readingOrder="0" textRotation="90" vertical="center"/>
    </xf>
    <xf borderId="47" fillId="5" fontId="4" numFmtId="0" xfId="0" applyAlignment="1" applyBorder="1" applyFont="1">
      <alignment horizontal="center" readingOrder="0" vertical="center"/>
    </xf>
    <xf borderId="0" fillId="5" fontId="29" numFmtId="0" xfId="0" applyAlignment="1" applyFont="1">
      <alignment readingOrder="0" vertical="bottom"/>
    </xf>
    <xf borderId="54" fillId="4" fontId="1" numFmtId="0" xfId="0" applyAlignment="1" applyBorder="1" applyFont="1">
      <alignment horizontal="center" readingOrder="0"/>
    </xf>
    <xf borderId="50" fillId="4" fontId="1" numFmtId="0" xfId="0" applyAlignment="1" applyBorder="1" applyFont="1">
      <alignment horizontal="center" readingOrder="0"/>
    </xf>
    <xf borderId="51" fillId="4" fontId="1" numFmtId="0" xfId="0" applyAlignment="1" applyBorder="1" applyFont="1">
      <alignment horizontal="center" readingOrder="0"/>
    </xf>
    <xf borderId="53" fillId="4" fontId="1" numFmtId="0" xfId="0" applyAlignment="1" applyBorder="1" applyFont="1">
      <alignment horizontal="center" readingOrder="0"/>
    </xf>
    <xf borderId="47" fillId="4" fontId="1" numFmtId="0" xfId="0" applyAlignment="1" applyBorder="1" applyFont="1">
      <alignment horizontal="center" readingOrder="0"/>
    </xf>
    <xf borderId="31" fillId="4" fontId="1" numFmtId="0" xfId="0" applyAlignment="1" applyBorder="1" applyFont="1">
      <alignment horizontal="center" readingOrder="0"/>
    </xf>
    <xf borderId="53" fillId="0" fontId="3" numFmtId="0" xfId="0" applyBorder="1" applyFont="1"/>
    <xf borderId="0" fillId="5" fontId="56" numFmtId="0" xfId="0" applyAlignment="1" applyFont="1">
      <alignment readingOrder="0" vertical="bottom"/>
    </xf>
    <xf borderId="47" fillId="10" fontId="23" numFmtId="0" xfId="0" applyAlignment="1" applyBorder="1" applyFont="1">
      <alignment horizontal="center" readingOrder="0" vertical="center"/>
    </xf>
    <xf borderId="0" fillId="10" fontId="24" numFmtId="0" xfId="0" applyAlignment="1" applyFont="1">
      <alignment readingOrder="0" vertical="bottom"/>
    </xf>
    <xf borderId="0" fillId="10" fontId="57" numFmtId="0" xfId="0" applyAlignment="1" applyFont="1">
      <alignment readingOrder="0" vertical="bottom"/>
    </xf>
    <xf borderId="54" fillId="21" fontId="1" numFmtId="0" xfId="0" applyAlignment="1" applyBorder="1" applyFill="1" applyFont="1">
      <alignment horizontal="center" readingOrder="0" vertical="bottom"/>
    </xf>
    <xf borderId="47" fillId="22" fontId="1" numFmtId="0" xfId="0" applyAlignment="1" applyBorder="1" applyFill="1" applyFont="1">
      <alignment horizontal="center" vertical="bottom"/>
    </xf>
    <xf borderId="31" fillId="21" fontId="1" numFmtId="0" xfId="0" applyAlignment="1" applyBorder="1" applyFont="1">
      <alignment horizontal="center" vertical="bottom"/>
    </xf>
    <xf borderId="47" fillId="12" fontId="4" numFmtId="0" xfId="0" applyAlignment="1" applyBorder="1" applyFont="1">
      <alignment horizontal="center" readingOrder="0" vertical="center"/>
    </xf>
    <xf borderId="0" fillId="12" fontId="29" numFmtId="0" xfId="0" applyAlignment="1" applyFont="1">
      <alignment readingOrder="0" vertical="center"/>
    </xf>
    <xf borderId="44" fillId="0" fontId="3" numFmtId="0" xfId="0" applyBorder="1" applyFont="1"/>
    <xf borderId="0" fillId="12" fontId="56" numFmtId="0" xfId="0" applyAlignment="1" applyFont="1">
      <alignment readingOrder="0" vertical="center"/>
    </xf>
    <xf borderId="55" fillId="20" fontId="13" numFmtId="0" xfId="0" applyAlignment="1" applyBorder="1" applyFont="1">
      <alignment horizontal="center" vertical="center"/>
    </xf>
    <xf borderId="45" fillId="20" fontId="13" numFmtId="0" xfId="0" applyAlignment="1" applyBorder="1" applyFont="1">
      <alignment horizontal="center" vertical="center"/>
    </xf>
    <xf borderId="56" fillId="20" fontId="13" numFmtId="0" xfId="0" applyAlignment="1" applyBorder="1" applyFont="1">
      <alignment horizontal="center" vertical="center"/>
    </xf>
    <xf borderId="57" fillId="20" fontId="58" numFmtId="0" xfId="0" applyAlignment="1" applyBorder="1" applyFont="1">
      <alignment horizontal="center"/>
    </xf>
    <xf borderId="58" fillId="20" fontId="59" numFmtId="0" xfId="0" applyAlignment="1" applyBorder="1" applyFont="1">
      <alignment horizontal="center"/>
    </xf>
    <xf borderId="57" fillId="20" fontId="60" numFmtId="0" xfId="0" applyAlignment="1" applyBorder="1" applyFont="1">
      <alignment horizontal="center"/>
    </xf>
    <xf borderId="59" fillId="8" fontId="49" numFmtId="0" xfId="0" applyAlignment="1" applyBorder="1" applyFont="1">
      <alignment horizontal="center" readingOrder="0" textRotation="90" vertical="center"/>
    </xf>
    <xf borderId="47" fillId="9" fontId="17" numFmtId="0" xfId="0" applyAlignment="1" applyBorder="1" applyFont="1">
      <alignment horizontal="center" readingOrder="0" vertical="center"/>
    </xf>
    <xf borderId="0" fillId="9" fontId="18" numFmtId="0" xfId="0" applyAlignment="1" applyFont="1">
      <alignment readingOrder="0" vertical="bottom"/>
    </xf>
    <xf borderId="0" fillId="9" fontId="61" numFmtId="0" xfId="0" applyAlignment="1" applyFont="1">
      <alignment readingOrder="0" vertical="bottom"/>
    </xf>
    <xf borderId="47" fillId="7" fontId="21" numFmtId="0" xfId="0" applyAlignment="1" applyBorder="1" applyFont="1">
      <alignment horizontal="center" readingOrder="0" vertical="center"/>
    </xf>
    <xf borderId="0" fillId="7" fontId="22" numFmtId="0" xfId="0" applyAlignment="1" applyFont="1">
      <alignment readingOrder="0" vertical="bottom"/>
    </xf>
    <xf borderId="0" fillId="7" fontId="62" numFmtId="0" xfId="0" applyAlignment="1" applyFont="1">
      <alignment readingOrder="0" vertical="bottom"/>
    </xf>
    <xf borderId="47" fillId="23" fontId="17" numFmtId="0" xfId="0" applyAlignment="1" applyBorder="1" applyFill="1" applyFont="1">
      <alignment horizontal="center" readingOrder="0"/>
    </xf>
    <xf borderId="0" fillId="23" fontId="18" numFmtId="0" xfId="0" applyAlignment="1" applyFont="1">
      <alignment horizontal="left" readingOrder="0"/>
    </xf>
    <xf borderId="54" fillId="4" fontId="1" numFmtId="0" xfId="0" applyAlignment="1" applyBorder="1" applyFont="1">
      <alignment horizontal="center" readingOrder="0" vertical="center"/>
    </xf>
    <xf borderId="50" fillId="4" fontId="1" numFmtId="0" xfId="0" applyAlignment="1" applyBorder="1" applyFont="1">
      <alignment horizontal="center" readingOrder="0" vertical="center"/>
    </xf>
    <xf borderId="47" fillId="4" fontId="1" numFmtId="0" xfId="0" applyAlignment="1" applyBorder="1" applyFont="1">
      <alignment horizontal="center" readingOrder="0" vertical="center"/>
    </xf>
    <xf borderId="31" fillId="4" fontId="1" numFmtId="0" xfId="0" applyAlignment="1" applyBorder="1" applyFont="1">
      <alignment horizontal="center" readingOrder="0" vertical="center"/>
    </xf>
    <xf borderId="53" fillId="4" fontId="1" numFmtId="0" xfId="0" applyAlignment="1" applyBorder="1" applyFont="1">
      <alignment horizontal="center" readingOrder="0" vertical="center"/>
    </xf>
    <xf borderId="51" fillId="4" fontId="1" numFmtId="0" xfId="0" applyAlignment="1" applyBorder="1" applyFont="1">
      <alignment horizontal="center" readingOrder="0" vertical="center"/>
    </xf>
    <xf borderId="60" fillId="0" fontId="3" numFmtId="0" xfId="0" applyBorder="1" applyFont="1"/>
    <xf borderId="47" fillId="13" fontId="17" numFmtId="0" xfId="0" applyAlignment="1" applyBorder="1" applyFont="1">
      <alignment horizontal="center" readingOrder="0"/>
    </xf>
    <xf borderId="0" fillId="13" fontId="18" numFmtId="0" xfId="0" applyAlignment="1" applyFont="1">
      <alignment horizontal="left" readingOrder="0"/>
    </xf>
    <xf borderId="15" fillId="20" fontId="63" numFmtId="0" xfId="0" applyBorder="1" applyFont="1"/>
    <xf borderId="16" fillId="20" fontId="63" numFmtId="0" xfId="0" applyBorder="1" applyFont="1"/>
    <xf borderId="27" fillId="20" fontId="63" numFmtId="0" xfId="0" applyBorder="1" applyFont="1"/>
    <xf borderId="17" fillId="20" fontId="63" numFmtId="0" xfId="0" applyBorder="1" applyFont="1"/>
    <xf borderId="31" fillId="8" fontId="49" numFmtId="0" xfId="0" applyAlignment="1" applyBorder="1" applyFont="1">
      <alignment horizontal="center" textRotation="90" vertical="center"/>
    </xf>
    <xf borderId="0" fillId="24" fontId="64" numFmtId="0" xfId="0" applyFill="1" applyFont="1"/>
    <xf borderId="47" fillId="22" fontId="65" numFmtId="0" xfId="0" applyAlignment="1" applyBorder="1" applyFont="1">
      <alignment horizontal="center" vertical="bottom"/>
    </xf>
    <xf borderId="50" fillId="22" fontId="65" numFmtId="0" xfId="0" applyAlignment="1" applyBorder="1" applyFont="1">
      <alignment horizontal="center" vertical="bottom"/>
    </xf>
    <xf borderId="51" fillId="22" fontId="65" numFmtId="0" xfId="0" applyAlignment="1" applyBorder="1" applyFont="1">
      <alignment horizontal="center" vertical="bottom"/>
    </xf>
    <xf borderId="0" fillId="21" fontId="64" numFmtId="0" xfId="0" applyFont="1"/>
    <xf borderId="47" fillId="25" fontId="65" numFmtId="0" xfId="0" applyAlignment="1" applyBorder="1" applyFill="1" applyFont="1">
      <alignment horizontal="center" vertical="bottom"/>
    </xf>
    <xf borderId="50" fillId="25" fontId="65" numFmtId="0" xfId="0" applyAlignment="1" applyBorder="1" applyFont="1">
      <alignment horizontal="center" vertical="bottom"/>
    </xf>
    <xf borderId="51" fillId="25" fontId="65" numFmtId="0" xfId="0" applyAlignment="1" applyBorder="1" applyFont="1">
      <alignment horizontal="center" vertical="bottom"/>
    </xf>
    <xf borderId="0" fillId="26" fontId="64" numFmtId="0" xfId="0" applyFill="1" applyFont="1"/>
    <xf borderId="47" fillId="26" fontId="65" numFmtId="0" xfId="0" applyAlignment="1" applyBorder="1" applyFont="1">
      <alignment horizontal="center" vertical="bottom"/>
    </xf>
    <xf borderId="50" fillId="26" fontId="65" numFmtId="0" xfId="0" applyAlignment="1" applyBorder="1" applyFont="1">
      <alignment horizontal="center" vertical="bottom"/>
    </xf>
    <xf borderId="51" fillId="26" fontId="65" numFmtId="0" xfId="0" applyAlignment="1" applyBorder="1" applyFont="1">
      <alignment horizontal="center" vertical="bottom"/>
    </xf>
    <xf borderId="0" fillId="4" fontId="66" numFmtId="0" xfId="0" applyFont="1"/>
    <xf borderId="47" fillId="4" fontId="67" numFmtId="0" xfId="0" applyAlignment="1" applyBorder="1" applyFont="1">
      <alignment horizontal="center" vertical="bottom"/>
    </xf>
    <xf borderId="50" fillId="4" fontId="67" numFmtId="0" xfId="0" applyAlignment="1" applyBorder="1" applyFont="1">
      <alignment horizontal="center" vertical="bottom"/>
    </xf>
    <xf borderId="51" fillId="4" fontId="67" numFmtId="0" xfId="0" applyAlignment="1" applyBorder="1" applyFont="1">
      <alignment horizontal="center" vertical="bottom"/>
    </xf>
    <xf borderId="0" fillId="14" fontId="64" numFmtId="0" xfId="0" applyFont="1"/>
    <xf borderId="50" fillId="14" fontId="65" numFmtId="0" xfId="0" applyAlignment="1" applyBorder="1" applyFont="1">
      <alignment horizontal="center" vertical="bottom"/>
    </xf>
    <xf borderId="51" fillId="14" fontId="65" numFmtId="0" xfId="0" applyAlignment="1" applyBorder="1" applyFont="1">
      <alignment horizontal="center" vertical="bottom"/>
    </xf>
    <xf borderId="47" fillId="14" fontId="65" numFmtId="0" xfId="0" applyAlignment="1" applyBorder="1" applyFont="1">
      <alignment horizontal="center" vertical="bottom"/>
    </xf>
    <xf borderId="0" fillId="0" fontId="64" numFmtId="0" xfId="0" applyAlignment="1" applyFont="1">
      <alignment readingOrder="0"/>
    </xf>
    <xf borderId="50" fillId="0" fontId="68" numFmtId="0" xfId="0" applyAlignment="1" applyBorder="1" applyFont="1">
      <alignment horizontal="center"/>
    </xf>
    <xf borderId="51" fillId="0" fontId="68" numFmtId="0" xfId="0" applyAlignment="1" applyBorder="1" applyFont="1">
      <alignment horizontal="center"/>
    </xf>
    <xf borderId="47" fillId="0" fontId="68" numFmtId="0" xfId="0" applyAlignment="1" applyBorder="1" applyFont="1">
      <alignment horizontal="center"/>
    </xf>
    <xf borderId="31" fillId="0" fontId="68" numFmtId="0" xfId="0" applyAlignment="1" applyBorder="1" applyFont="1">
      <alignment horizontal="center"/>
    </xf>
    <xf borderId="0" fillId="0" fontId="64" numFmtId="0" xfId="0" applyFont="1"/>
    <xf borderId="47" fillId="0" fontId="65" numFmtId="0" xfId="0" applyAlignment="1" applyBorder="1" applyFont="1">
      <alignment horizontal="center" vertical="bottom"/>
    </xf>
    <xf borderId="50" fillId="0" fontId="65" numFmtId="0" xfId="0" applyAlignment="1" applyBorder="1" applyFont="1">
      <alignment horizontal="center" vertical="bottom"/>
    </xf>
    <xf borderId="51" fillId="0" fontId="65" numFmtId="0" xfId="0" applyAlignment="1" applyBorder="1" applyFont="1">
      <alignment horizontal="center" vertical="bottom"/>
    </xf>
    <xf borderId="61" fillId="0" fontId="3" numFmtId="0" xfId="0" applyBorder="1" applyFont="1"/>
    <xf borderId="45" fillId="0" fontId="64" numFmtId="9" xfId="0" applyBorder="1" applyFont="1" applyNumberFormat="1"/>
    <xf borderId="47" fillId="0" fontId="65" numFmtId="9" xfId="0" applyAlignment="1" applyBorder="1" applyFont="1" applyNumberFormat="1">
      <alignment horizontal="center" vertical="bottom"/>
    </xf>
    <xf borderId="50" fillId="0" fontId="65" numFmtId="9" xfId="0" applyAlignment="1" applyBorder="1" applyFont="1" applyNumberFormat="1">
      <alignment horizontal="center" vertical="bottom"/>
    </xf>
    <xf borderId="51" fillId="0" fontId="65" numFmtId="9" xfId="0" applyAlignment="1" applyBorder="1" applyFont="1" applyNumberFormat="1">
      <alignment horizontal="center" vertical="bottom"/>
    </xf>
    <xf borderId="42" fillId="8" fontId="49" numFmtId="0" xfId="0" applyAlignment="1" applyBorder="1" applyFont="1">
      <alignment horizontal="center" readingOrder="0" vertical="center"/>
    </xf>
    <xf borderId="62" fillId="20" fontId="69" numFmtId="0" xfId="0" applyAlignment="1" applyBorder="1" applyFont="1">
      <alignment horizontal="center" vertical="bottom"/>
    </xf>
    <xf borderId="63" fillId="20" fontId="70" numFmtId="0" xfId="0" applyAlignment="1" applyBorder="1" applyFont="1">
      <alignment horizontal="center" vertical="bottom"/>
    </xf>
    <xf borderId="64" fillId="20" fontId="71" numFmtId="0" xfId="0" applyAlignment="1" applyBorder="1" applyFont="1">
      <alignment horizontal="center" vertical="bottom"/>
    </xf>
    <xf borderId="65" fillId="20" fontId="72" numFmtId="0" xfId="0" applyAlignment="1" applyBorder="1" applyFont="1">
      <alignment horizontal="center" vertical="bottom"/>
    </xf>
    <xf borderId="44" fillId="20" fontId="73" numFmtId="0" xfId="0" applyAlignment="1" applyBorder="1" applyFont="1">
      <alignment horizontal="center" vertical="bottom"/>
    </xf>
    <xf borderId="66" fillId="20" fontId="74" numFmtId="0" xfId="0" applyAlignment="1" applyBorder="1" applyFont="1">
      <alignment horizontal="center" vertical="bottom"/>
    </xf>
    <xf borderId="67" fillId="20" fontId="75" numFmtId="0" xfId="0" applyAlignment="1" applyBorder="1" applyFont="1">
      <alignment horizontal="center" vertical="bottom"/>
    </xf>
    <xf borderId="68" fillId="20" fontId="76" numFmtId="0" xfId="0" applyAlignment="1" applyBorder="1" applyFont="1">
      <alignment horizontal="center" vertical="bottom"/>
    </xf>
    <xf borderId="69" fillId="20" fontId="77" numFmtId="0" xfId="0" applyAlignment="1" applyBorder="1" applyFont="1">
      <alignment horizontal="center" vertical="bottom"/>
    </xf>
    <xf borderId="70" fillId="20" fontId="78" numFmtId="0" xfId="0" applyAlignment="1" applyBorder="1" applyFont="1">
      <alignment horizontal="center" vertical="bottom"/>
    </xf>
    <xf borderId="46" fillId="20" fontId="79" numFmtId="0" xfId="0" applyAlignment="1" applyBorder="1" applyFont="1">
      <alignment horizontal="center" vertical="bottom"/>
    </xf>
    <xf borderId="71" fillId="20" fontId="13" numFmtId="0" xfId="0" applyAlignment="1" applyBorder="1" applyFont="1">
      <alignment vertical="bottom"/>
    </xf>
    <xf borderId="60" fillId="20" fontId="13" numFmtId="0" xfId="0" applyAlignment="1" applyBorder="1" applyFont="1">
      <alignment vertical="bottom"/>
    </xf>
    <xf borderId="72" fillId="20" fontId="13" numFmtId="0" xfId="0" applyAlignment="1" applyBorder="1" applyFont="1">
      <alignment vertical="bottom"/>
    </xf>
    <xf borderId="0" fillId="20" fontId="13" numFmtId="0" xfId="0" applyAlignment="1" applyFont="1">
      <alignment vertical="bottom"/>
    </xf>
    <xf borderId="59" fillId="8" fontId="26" numFmtId="0" xfId="0" applyAlignment="1" applyBorder="1" applyFont="1">
      <alignment horizontal="center" readingOrder="0" vertical="center"/>
    </xf>
    <xf borderId="0" fillId="5" fontId="29" numFmtId="0" xfId="0" applyAlignment="1" applyFont="1">
      <alignment horizontal="left" readingOrder="0" vertical="center"/>
    </xf>
    <xf borderId="0" fillId="4" fontId="80" numFmtId="0" xfId="0" applyAlignment="1" applyFont="1">
      <alignment horizontal="center" readingOrder="0" vertical="center"/>
    </xf>
    <xf borderId="0" fillId="0" fontId="81" numFmtId="0" xfId="0" applyAlignment="1" applyFont="1">
      <alignment horizontal="center" readingOrder="0" vertical="center"/>
    </xf>
    <xf borderId="31" fillId="0" fontId="81" numFmtId="0" xfId="0" applyAlignment="1" applyBorder="1" applyFont="1">
      <alignment horizontal="center" readingOrder="0" vertical="center"/>
    </xf>
    <xf borderId="0" fillId="27" fontId="1" numFmtId="0" xfId="0" applyAlignment="1" applyFill="1" applyFont="1">
      <alignment horizontal="center" readingOrder="0" vertical="center"/>
    </xf>
    <xf borderId="63" fillId="10" fontId="23" numFmtId="0" xfId="0" applyAlignment="1" applyBorder="1" applyFont="1">
      <alignment horizontal="center" readingOrder="0" vertical="center"/>
    </xf>
    <xf borderId="0" fillId="10" fontId="24" numFmtId="0" xfId="0" applyAlignment="1" applyFont="1">
      <alignment readingOrder="0" vertical="center"/>
    </xf>
    <xf borderId="56" fillId="20" fontId="82" numFmtId="0" xfId="0" applyAlignment="1" applyBorder="1" applyFont="1">
      <alignment horizontal="center" readingOrder="0" vertical="center"/>
    </xf>
    <xf borderId="58" fillId="20" fontId="83" numFmtId="0" xfId="0" applyAlignment="1" applyBorder="1" applyFont="1">
      <alignment horizontal="center" readingOrder="0" vertical="center"/>
    </xf>
    <xf borderId="0" fillId="20" fontId="63" numFmtId="0" xfId="0" applyAlignment="1" applyFont="1">
      <alignment horizontal="center" readingOrder="0" vertical="center"/>
    </xf>
    <xf borderId="0" fillId="9" fontId="18" numFmtId="0" xfId="0" applyAlignment="1" applyFont="1">
      <alignment horizontal="left" readingOrder="0" vertical="center"/>
    </xf>
    <xf borderId="15" fillId="20" fontId="13" numFmtId="0" xfId="0" applyBorder="1" applyFont="1"/>
    <xf borderId="16" fillId="20" fontId="63" numFmtId="0" xfId="0" applyAlignment="1" applyBorder="1" applyFont="1">
      <alignment horizontal="center" vertical="center"/>
    </xf>
    <xf borderId="17" fillId="20" fontId="63" numFmtId="0" xfId="0" applyAlignment="1" applyBorder="1" applyFont="1">
      <alignment horizontal="center" vertical="center"/>
    </xf>
    <xf borderId="0" fillId="20" fontId="63" numFmtId="0" xfId="0" applyAlignment="1" applyFont="1">
      <alignment horizontal="center" vertical="center"/>
    </xf>
    <xf borderId="50" fillId="22" fontId="81" numFmtId="0" xfId="0" applyAlignment="1" applyBorder="1" applyFont="1">
      <alignment horizontal="right" vertical="bottom"/>
    </xf>
    <xf borderId="51" fillId="22" fontId="81" numFmtId="0" xfId="0" applyAlignment="1" applyBorder="1" applyFont="1">
      <alignment horizontal="right" vertical="bottom"/>
    </xf>
    <xf borderId="50" fillId="25" fontId="81" numFmtId="0" xfId="0" applyAlignment="1" applyBorder="1" applyFont="1">
      <alignment horizontal="right" vertical="bottom"/>
    </xf>
    <xf borderId="51" fillId="25" fontId="81" numFmtId="0" xfId="0" applyAlignment="1" applyBorder="1" applyFont="1">
      <alignment horizontal="right" vertical="bottom"/>
    </xf>
    <xf borderId="50" fillId="26" fontId="81" numFmtId="0" xfId="0" applyAlignment="1" applyBorder="1" applyFont="1">
      <alignment horizontal="right" vertical="bottom"/>
    </xf>
    <xf borderId="51" fillId="26" fontId="81" numFmtId="0" xfId="0" applyAlignment="1" applyBorder="1" applyFont="1">
      <alignment horizontal="right" vertical="bottom"/>
    </xf>
    <xf borderId="50" fillId="4" fontId="80" numFmtId="0" xfId="0" applyAlignment="1" applyBorder="1" applyFont="1">
      <alignment horizontal="right" vertical="bottom"/>
    </xf>
    <xf borderId="51" fillId="4" fontId="80" numFmtId="0" xfId="0" applyAlignment="1" applyBorder="1" applyFont="1">
      <alignment horizontal="right" vertical="bottom"/>
    </xf>
    <xf borderId="47" fillId="14" fontId="81" numFmtId="0" xfId="0" applyAlignment="1" applyBorder="1" applyFont="1">
      <alignment horizontal="right" vertical="bottom"/>
    </xf>
    <xf borderId="50" fillId="14" fontId="81" numFmtId="0" xfId="0" applyAlignment="1" applyBorder="1" applyFont="1">
      <alignment horizontal="right" vertical="bottom"/>
    </xf>
    <xf borderId="51" fillId="14" fontId="81" numFmtId="0" xfId="0" applyAlignment="1" applyBorder="1" applyFont="1">
      <alignment horizontal="right" vertical="bottom"/>
    </xf>
    <xf borderId="50" fillId="0" fontId="84" numFmtId="0" xfId="0" applyAlignment="1" applyBorder="1" applyFont="1">
      <alignment horizontal="center"/>
    </xf>
    <xf borderId="51" fillId="0" fontId="84" numFmtId="0" xfId="0" applyAlignment="1" applyBorder="1" applyFont="1">
      <alignment horizontal="center"/>
    </xf>
    <xf borderId="47" fillId="0" fontId="84" numFmtId="0" xfId="0" applyAlignment="1" applyBorder="1" applyFont="1">
      <alignment horizontal="center"/>
    </xf>
    <xf borderId="47" fillId="0" fontId="81" numFmtId="0" xfId="0" applyAlignment="1" applyBorder="1" applyFont="1">
      <alignment horizontal="right" vertical="bottom"/>
    </xf>
    <xf borderId="50" fillId="0" fontId="81" numFmtId="0" xfId="0" applyAlignment="1" applyBorder="1" applyFont="1">
      <alignment horizontal="right" vertical="bottom"/>
    </xf>
    <xf borderId="51" fillId="0" fontId="81" numFmtId="0" xfId="0" applyAlignment="1" applyBorder="1" applyFont="1">
      <alignment horizontal="right" vertical="bottom"/>
    </xf>
    <xf borderId="63" fillId="0" fontId="81" numFmtId="9" xfId="0" applyAlignment="1" applyBorder="1" applyFont="1" applyNumberFormat="1">
      <alignment horizontal="right" vertical="bottom"/>
    </xf>
    <xf borderId="70" fillId="0" fontId="81" numFmtId="9" xfId="0" applyAlignment="1" applyBorder="1" applyFont="1" applyNumberFormat="1">
      <alignment horizontal="right" vertical="bottom"/>
    </xf>
    <xf borderId="44" fillId="8" fontId="85" numFmtId="0" xfId="0" applyAlignment="1" applyBorder="1" applyFont="1">
      <alignment horizontal="center" readingOrder="0"/>
    </xf>
    <xf borderId="15" fillId="5" fontId="85" numFmtId="0" xfId="0" applyAlignment="1" applyBorder="1" applyFont="1">
      <alignment horizontal="center" readingOrder="0" vertical="bottom"/>
    </xf>
    <xf borderId="15" fillId="9" fontId="86" numFmtId="0" xfId="0" applyAlignment="1" applyBorder="1" applyFont="1">
      <alignment horizontal="center" readingOrder="0" vertical="center"/>
    </xf>
    <xf borderId="15" fillId="7" fontId="87" numFmtId="0" xfId="0" applyAlignment="1" applyBorder="1" applyFont="1">
      <alignment horizontal="center" readingOrder="0" vertical="center"/>
    </xf>
    <xf borderId="30" fillId="5" fontId="10" numFmtId="0" xfId="0" applyAlignment="1" applyBorder="1" applyFont="1">
      <alignment readingOrder="0" vertical="bottom"/>
    </xf>
    <xf borderId="31" fillId="5" fontId="10" numFmtId="0" xfId="0" applyAlignment="1" applyBorder="1" applyFont="1">
      <alignment horizontal="right" readingOrder="0" vertical="bottom"/>
    </xf>
    <xf borderId="0" fillId="0" fontId="10" numFmtId="0" xfId="0" applyAlignment="1" applyFont="1">
      <alignment readingOrder="0" vertical="bottom"/>
    </xf>
    <xf borderId="30" fillId="9" fontId="88" numFmtId="0" xfId="0" applyAlignment="1" applyBorder="1" applyFont="1">
      <alignment horizontal="left" readingOrder="0" vertical="center"/>
    </xf>
    <xf borderId="31" fillId="9" fontId="88" numFmtId="0" xfId="0" applyAlignment="1" applyBorder="1" applyFont="1">
      <alignment horizontal="right" readingOrder="0" vertical="center"/>
    </xf>
    <xf borderId="30" fillId="7" fontId="89" numFmtId="0" xfId="0" applyAlignment="1" applyBorder="1" applyFont="1">
      <alignment horizontal="left" readingOrder="0" vertical="center"/>
    </xf>
    <xf borderId="31" fillId="7" fontId="89" numFmtId="0" xfId="0" applyAlignment="1" applyBorder="1" applyFont="1">
      <alignment horizontal="right" readingOrder="0" vertical="center"/>
    </xf>
    <xf borderId="30" fillId="5" fontId="90" numFmtId="0" xfId="0" applyAlignment="1" applyBorder="1" applyFont="1">
      <alignment readingOrder="0" vertical="bottom"/>
    </xf>
    <xf borderId="31" fillId="5" fontId="90" numFmtId="0" xfId="0" applyAlignment="1" applyBorder="1" applyFont="1">
      <alignment horizontal="right" readingOrder="0" vertical="bottom"/>
    </xf>
    <xf borderId="0" fillId="0" fontId="90" numFmtId="0" xfId="0" applyAlignment="1" applyFont="1">
      <alignment readingOrder="0" vertical="bottom"/>
    </xf>
    <xf borderId="30" fillId="9" fontId="91" numFmtId="0" xfId="0" applyAlignment="1" applyBorder="1" applyFont="1">
      <alignment horizontal="left" readingOrder="0" vertical="center"/>
    </xf>
    <xf borderId="30" fillId="7" fontId="92" numFmtId="0" xfId="0" applyAlignment="1" applyBorder="1" applyFont="1">
      <alignment horizontal="left" readingOrder="0" vertical="center"/>
    </xf>
    <xf borderId="30" fillId="9" fontId="93" numFmtId="0" xfId="0" applyAlignment="1" applyBorder="1" applyFont="1">
      <alignment horizontal="left" readingOrder="0"/>
    </xf>
    <xf borderId="0" fillId="0" fontId="88" numFmtId="0" xfId="0" applyAlignment="1" applyFont="1">
      <alignment readingOrder="0" vertical="bottom"/>
    </xf>
    <xf borderId="0" fillId="0" fontId="94" numFmtId="0" xfId="0" applyAlignment="1" applyFont="1">
      <alignment readingOrder="0" vertical="bottom"/>
    </xf>
    <xf borderId="24" fillId="7" fontId="92" numFmtId="0" xfId="0" applyAlignment="1" applyBorder="1" applyFont="1">
      <alignment horizontal="left" readingOrder="0" vertical="center"/>
    </xf>
    <xf borderId="25" fillId="7" fontId="89" numFmtId="0" xfId="0" applyAlignment="1" applyBorder="1" applyFont="1">
      <alignment horizontal="right" readingOrder="0" vertical="center"/>
    </xf>
    <xf borderId="24" fillId="9" fontId="93" numFmtId="0" xfId="0" applyAlignment="1" applyBorder="1" applyFont="1">
      <alignment horizontal="left" readingOrder="0"/>
    </xf>
    <xf borderId="25" fillId="9" fontId="90" numFmtId="0" xfId="0" applyAlignment="1" applyBorder="1" applyFont="1">
      <alignment horizontal="right" readingOrder="0" vertical="bottom"/>
    </xf>
    <xf borderId="24" fillId="5" fontId="90" numFmtId="0" xfId="0" applyAlignment="1" applyBorder="1" applyFont="1">
      <alignment readingOrder="0" vertical="bottom"/>
    </xf>
    <xf borderId="25" fillId="5" fontId="90" numFmtId="0" xfId="0" applyAlignment="1" applyBorder="1" applyFont="1">
      <alignment horizontal="right" readingOrder="0" vertical="bottom"/>
    </xf>
    <xf borderId="0" fillId="0" fontId="10" numFmtId="0" xfId="0" applyAlignment="1" applyFont="1">
      <alignment horizontal="center" readingOrder="0" vertical="center"/>
    </xf>
    <xf borderId="0" fillId="0" fontId="88" numFmtId="0" xfId="0" applyAlignment="1" applyFont="1">
      <alignment horizontal="center" readingOrder="0" vertical="center"/>
    </xf>
    <xf borderId="15" fillId="10" fontId="95" numFmtId="0" xfId="0" applyAlignment="1" applyBorder="1" applyFont="1">
      <alignment horizontal="center" readingOrder="0" vertical="center"/>
    </xf>
    <xf borderId="15" fillId="12" fontId="85" numFmtId="0" xfId="0" applyAlignment="1" applyBorder="1" applyFont="1">
      <alignment horizontal="center" readingOrder="0" vertical="center"/>
    </xf>
    <xf borderId="15" fillId="13" fontId="41" numFmtId="0" xfId="0" applyAlignment="1" applyBorder="1" applyFont="1">
      <alignment horizontal="center" readingOrder="0" vertical="center"/>
    </xf>
    <xf borderId="30" fillId="10" fontId="96" numFmtId="0" xfId="0" applyAlignment="1" applyBorder="1" applyFont="1">
      <alignment horizontal="left" readingOrder="0" vertical="center"/>
    </xf>
    <xf borderId="31" fillId="10" fontId="96" numFmtId="0" xfId="0" applyAlignment="1" applyBorder="1" applyFont="1">
      <alignment horizontal="right" readingOrder="0" vertical="center"/>
    </xf>
    <xf borderId="30" fillId="12" fontId="97" numFmtId="0" xfId="0" applyAlignment="1" applyBorder="1" applyFont="1">
      <alignment horizontal="left" readingOrder="0" vertical="center"/>
    </xf>
    <xf borderId="31" fillId="12" fontId="97" numFmtId="0" xfId="0" applyAlignment="1" applyBorder="1" applyFont="1">
      <alignment horizontal="right" readingOrder="0" vertical="center"/>
    </xf>
    <xf borderId="24" fillId="13" fontId="88" numFmtId="0" xfId="0" applyAlignment="1" applyBorder="1" applyFont="1">
      <alignment horizontal="left" readingOrder="0"/>
    </xf>
    <xf borderId="25" fillId="13" fontId="88" numFmtId="0" xfId="0" applyAlignment="1" applyBorder="1" applyFont="1">
      <alignment horizontal="left" readingOrder="0"/>
    </xf>
    <xf borderId="30" fillId="10" fontId="98" numFmtId="0" xfId="0" applyAlignment="1" applyBorder="1" applyFont="1">
      <alignment horizontal="left" readingOrder="0" vertical="center"/>
    </xf>
    <xf borderId="24" fillId="12" fontId="9" numFmtId="0" xfId="0" applyAlignment="1" applyBorder="1" applyFont="1">
      <alignment horizontal="left" readingOrder="0" vertical="center"/>
    </xf>
    <xf borderId="25" fillId="12" fontId="97" numFmtId="0" xfId="0" applyAlignment="1" applyBorder="1" applyFont="1">
      <alignment horizontal="right" readingOrder="0" vertical="center"/>
    </xf>
    <xf borderId="24" fillId="10" fontId="98" numFmtId="0" xfId="0" applyAlignment="1" applyBorder="1" applyFont="1">
      <alignment horizontal="left" readingOrder="0" vertical="center"/>
    </xf>
    <xf borderId="25" fillId="10" fontId="96" numFmtId="0" xfId="0" applyAlignment="1" applyBorder="1" applyFont="1">
      <alignment horizontal="right" readingOrder="0" vertical="center"/>
    </xf>
    <xf borderId="30" fillId="9" fontId="88" numFmtId="0" xfId="0" applyAlignment="1" applyBorder="1" applyFont="1">
      <alignment horizontal="center" readingOrder="0" vertical="center"/>
    </xf>
    <xf borderId="31" fillId="9" fontId="88" numFmtId="0" xfId="0" applyAlignment="1" applyBorder="1" applyFont="1">
      <alignment horizontal="center" readingOrder="0" vertical="center"/>
    </xf>
    <xf borderId="30" fillId="0" fontId="88" numFmtId="0" xfId="0" applyAlignment="1" applyBorder="1" applyFont="1">
      <alignment horizontal="center" readingOrder="0" vertical="center"/>
    </xf>
    <xf borderId="31" fillId="0" fontId="88" numFmtId="0" xfId="0" applyAlignment="1" applyBorder="1" applyFont="1">
      <alignment horizontal="center" readingOrder="0" vertical="center"/>
    </xf>
    <xf borderId="60" fillId="20" fontId="99" numFmtId="0" xfId="0" applyAlignment="1" applyBorder="1" applyFont="1">
      <alignment horizontal="center" readingOrder="0" vertical="center"/>
    </xf>
    <xf borderId="73" fillId="0" fontId="3" numFmtId="0" xfId="0" applyBorder="1" applyFont="1"/>
    <xf borderId="31" fillId="28" fontId="9" numFmtId="0" xfId="0" applyAlignment="1" applyBorder="1" applyFill="1" applyFont="1">
      <alignment horizontal="center" vertical="center"/>
    </xf>
    <xf borderId="16" fillId="20" fontId="29" numFmtId="0" xfId="0" applyAlignment="1" applyBorder="1" applyFont="1">
      <alignment horizontal="center" vertical="center"/>
    </xf>
    <xf borderId="32" fillId="28" fontId="9" numFmtId="0" xfId="0" applyAlignment="1" applyBorder="1" applyFont="1">
      <alignment horizontal="center" vertical="center"/>
    </xf>
    <xf borderId="73" fillId="20" fontId="10" numFmtId="0" xfId="0" applyAlignment="1" applyBorder="1" applyFont="1">
      <alignment horizontal="center" vertical="center"/>
    </xf>
    <xf borderId="35" fillId="0" fontId="3" numFmtId="0" xfId="0" applyBorder="1" applyFont="1"/>
    <xf borderId="32" fillId="20" fontId="9" numFmtId="0" xfId="0" applyAlignment="1" applyBorder="1" applyFont="1">
      <alignment horizontal="center" vertical="center"/>
    </xf>
    <xf borderId="19" fillId="20" fontId="26" numFmtId="0" xfId="0" applyAlignment="1" applyBorder="1" applyFont="1">
      <alignment horizontal="center" vertical="center"/>
    </xf>
    <xf borderId="20" fillId="20" fontId="5" numFmtId="0" xfId="0" applyAlignment="1" applyBorder="1" applyFont="1">
      <alignment horizontal="center" vertical="center"/>
    </xf>
    <xf borderId="25" fillId="20" fontId="56" numFmtId="0" xfId="0" applyAlignment="1" applyBorder="1" applyFont="1">
      <alignment horizontal="center" vertical="center"/>
    </xf>
    <xf borderId="25" fillId="20" fontId="56" numFmtId="0" xfId="0" applyAlignment="1" applyBorder="1" applyFont="1">
      <alignment horizontal="center" readingOrder="0" vertical="center"/>
    </xf>
    <xf borderId="25" fillId="20" fontId="5" numFmtId="0" xfId="0" applyAlignment="1" applyBorder="1" applyFont="1">
      <alignment horizontal="center" vertical="center"/>
    </xf>
    <xf borderId="25" fillId="28" fontId="9" numFmtId="0" xfId="0" applyAlignment="1" applyBorder="1" applyFont="1">
      <alignment horizontal="center" vertical="center"/>
    </xf>
    <xf borderId="73" fillId="28" fontId="18" numFmtId="0" xfId="0" applyAlignment="1" applyBorder="1" applyFont="1">
      <alignment horizontal="center" vertical="center"/>
    </xf>
    <xf borderId="20" fillId="28" fontId="9" numFmtId="0" xfId="0" applyAlignment="1" applyBorder="1" applyFont="1">
      <alignment horizontal="center" vertical="center"/>
    </xf>
    <xf borderId="73" fillId="28" fontId="18" numFmtId="0" xfId="0" applyAlignment="1" applyBorder="1" applyFont="1">
      <alignment horizontal="center" readingOrder="0" vertical="center"/>
    </xf>
    <xf borderId="20" fillId="20" fontId="9" numFmtId="0" xfId="0" applyAlignment="1" applyBorder="1" applyFont="1">
      <alignment horizontal="center" vertical="center"/>
    </xf>
    <xf borderId="0" fillId="20" fontId="29" numFmtId="0" xfId="0" applyAlignment="1" applyFont="1">
      <alignment horizontal="center" readingOrder="0" vertical="center"/>
    </xf>
    <xf borderId="0" fillId="0" fontId="81" numFmtId="0" xfId="0" applyAlignment="1" applyFont="1">
      <alignment horizontal="center" readingOrder="0" vertical="center"/>
    </xf>
    <xf borderId="0" fillId="29" fontId="97" numFmtId="0" xfId="0" applyAlignment="1" applyFill="1" applyFont="1">
      <alignment horizontal="center" readingOrder="0" vertical="center"/>
    </xf>
    <xf borderId="47" fillId="0" fontId="100" numFmtId="0" xfId="0" applyAlignment="1" applyBorder="1" applyFont="1">
      <alignment horizontal="left" readingOrder="0" vertical="center"/>
    </xf>
    <xf borderId="47" fillId="28" fontId="13" numFmtId="0" xfId="0" applyAlignment="1" applyBorder="1" applyFont="1">
      <alignment horizontal="center" vertical="center"/>
    </xf>
    <xf borderId="0" fillId="20" fontId="97" numFmtId="0" xfId="0" applyAlignment="1" applyFont="1">
      <alignment horizontal="center" readingOrder="0" vertical="center"/>
    </xf>
    <xf borderId="50" fillId="28" fontId="13" numFmtId="0" xfId="0" applyAlignment="1" applyBorder="1" applyFont="1">
      <alignment horizontal="center" vertical="center"/>
    </xf>
    <xf borderId="0" fillId="0" fontId="13" numFmtId="0" xfId="0" applyAlignment="1" applyFont="1">
      <alignment horizontal="center" readingOrder="0" vertical="center"/>
    </xf>
    <xf borderId="47" fillId="0" fontId="101" numFmtId="0" xfId="0" applyAlignment="1" applyBorder="1" applyFont="1">
      <alignment horizontal="left" readingOrder="0" vertical="center"/>
    </xf>
    <xf borderId="0" fillId="30" fontId="1" numFmtId="0" xfId="0" applyAlignment="1" applyFill="1" applyFont="1">
      <alignment horizontal="center" readingOrder="0" vertical="center"/>
    </xf>
    <xf borderId="0" fillId="30" fontId="102" numFmtId="0" xfId="0" applyAlignment="1" applyFont="1">
      <alignment horizontal="center" readingOrder="0" vertical="center"/>
    </xf>
    <xf borderId="0" fillId="31" fontId="81" numFmtId="0" xfId="0" applyAlignment="1" applyFill="1" applyFont="1">
      <alignment horizontal="center" readingOrder="0" vertical="center"/>
    </xf>
    <xf borderId="47" fillId="0" fontId="103" numFmtId="0" xfId="0" applyAlignment="1" applyBorder="1" applyFont="1">
      <alignment horizontal="left" readingOrder="0" vertical="center"/>
    </xf>
    <xf borderId="0" fillId="32" fontId="1" numFmtId="0" xfId="0" applyAlignment="1" applyFill="1" applyFont="1">
      <alignment horizontal="center" readingOrder="0" vertical="center"/>
    </xf>
    <xf borderId="0" fillId="11" fontId="81" numFmtId="0" xfId="0" applyAlignment="1" applyFont="1">
      <alignment horizontal="center" readingOrder="0" vertical="center"/>
    </xf>
    <xf borderId="0" fillId="32" fontId="81" numFmtId="0" xfId="0" applyAlignment="1" applyFont="1">
      <alignment horizontal="center" readingOrder="0" vertical="center"/>
    </xf>
    <xf borderId="47" fillId="0" fontId="104" numFmtId="0" xfId="0" applyAlignment="1" applyBorder="1" applyFont="1">
      <alignment horizontal="left" vertical="center"/>
    </xf>
    <xf borderId="0" fillId="7" fontId="105" numFmtId="0" xfId="0" applyAlignment="1" applyFont="1">
      <alignment horizontal="center" readingOrder="0" vertical="center"/>
    </xf>
    <xf borderId="0" fillId="31" fontId="106" numFmtId="0" xfId="0" applyAlignment="1" applyFont="1">
      <alignment horizontal="center" readingOrder="0" vertical="center"/>
    </xf>
    <xf borderId="0" fillId="33" fontId="107" numFmtId="0" xfId="0" applyAlignment="1" applyFill="1" applyFont="1">
      <alignment horizontal="center" readingOrder="0" vertical="center"/>
    </xf>
    <xf borderId="53" fillId="28" fontId="13" numFmtId="0" xfId="0" applyAlignment="1" applyBorder="1" applyFont="1">
      <alignment horizontal="center" vertical="center"/>
    </xf>
    <xf borderId="53" fillId="0" fontId="65" numFmtId="0" xfId="0" applyAlignment="1" applyBorder="1" applyFont="1">
      <alignment horizontal="center" readingOrder="0" vertical="center"/>
    </xf>
    <xf borderId="0" fillId="0" fontId="65" numFmtId="0" xfId="0" applyAlignment="1" applyFont="1">
      <alignment horizontal="center" readingOrder="0" vertical="center"/>
    </xf>
    <xf borderId="0" fillId="8" fontId="13" numFmtId="0" xfId="0" applyAlignment="1" applyFont="1">
      <alignment horizontal="center" vertical="center"/>
    </xf>
    <xf borderId="56" fillId="8" fontId="81" numFmtId="0" xfId="0" applyAlignment="1" applyBorder="1" applyFont="1">
      <alignment horizontal="center" vertical="center"/>
    </xf>
    <xf borderId="47" fillId="8" fontId="13" numFmtId="0" xfId="0" applyAlignment="1" applyBorder="1" applyFont="1">
      <alignment horizontal="left" vertical="center"/>
    </xf>
    <xf borderId="47" fillId="8" fontId="13" numFmtId="0" xfId="0" applyAlignment="1" applyBorder="1" applyFont="1">
      <alignment horizontal="center" vertical="center"/>
    </xf>
    <xf borderId="0" fillId="8" fontId="81" numFmtId="0" xfId="0" applyAlignment="1" applyFont="1">
      <alignment horizontal="center" vertical="center"/>
    </xf>
    <xf borderId="50" fillId="8" fontId="13" numFmtId="0" xfId="0" applyAlignment="1" applyBorder="1" applyFont="1">
      <alignment horizontal="center" vertical="center"/>
    </xf>
    <xf borderId="0" fillId="30" fontId="108" numFmtId="0" xfId="0" applyAlignment="1" applyFont="1">
      <alignment horizontal="center" readingOrder="0" vertical="center"/>
    </xf>
    <xf borderId="0" fillId="34" fontId="88" numFmtId="0" xfId="0" applyAlignment="1" applyFill="1" applyFont="1">
      <alignment horizontal="center" readingOrder="0" vertical="center"/>
    </xf>
    <xf borderId="47" fillId="0" fontId="109" numFmtId="0" xfId="0" applyAlignment="1" applyBorder="1" applyFont="1">
      <alignment horizontal="left" vertical="center"/>
    </xf>
    <xf borderId="47" fillId="0" fontId="110" numFmtId="0" xfId="0" applyAlignment="1" applyBorder="1" applyFont="1">
      <alignment horizontal="left" vertical="center"/>
    </xf>
    <xf borderId="0" fillId="35" fontId="88" numFmtId="0" xfId="0" applyAlignment="1" applyFill="1" applyFont="1">
      <alignment horizontal="center" readingOrder="0" vertical="center"/>
    </xf>
    <xf borderId="47" fillId="32" fontId="1" numFmtId="0" xfId="0" applyAlignment="1" applyBorder="1" applyFont="1">
      <alignment horizontal="center" readingOrder="0" vertical="center"/>
    </xf>
    <xf borderId="0" fillId="36" fontId="10" numFmtId="0" xfId="0" applyAlignment="1" applyFill="1" applyFont="1">
      <alignment horizontal="center" readingOrder="0" vertical="center"/>
    </xf>
    <xf borderId="47" fillId="0" fontId="111" numFmtId="0" xfId="0" applyAlignment="1" applyBorder="1" applyFont="1">
      <alignment horizontal="left" vertical="center"/>
    </xf>
    <xf borderId="0" fillId="37" fontId="81" numFmtId="0" xfId="0" applyAlignment="1" applyFill="1" applyFont="1">
      <alignment horizontal="center" readingOrder="0" vertical="center"/>
    </xf>
    <xf borderId="0" fillId="32" fontId="112" numFmtId="0" xfId="0" applyAlignment="1" applyFont="1">
      <alignment horizontal="center" readingOrder="0" vertical="center"/>
    </xf>
    <xf borderId="0" fillId="38" fontId="88" numFmtId="0" xfId="0" applyAlignment="1" applyFill="1" applyFont="1">
      <alignment horizontal="center" readingOrder="0" vertical="center"/>
    </xf>
    <xf borderId="0" fillId="39" fontId="97" numFmtId="0" xfId="0" applyAlignment="1" applyFill="1" applyFont="1">
      <alignment horizontal="center" readingOrder="0" vertical="center"/>
    </xf>
    <xf borderId="0" fillId="39" fontId="10" numFmtId="0" xfId="0" applyAlignment="1" applyFont="1">
      <alignment horizontal="center" readingOrder="0" vertical="center"/>
    </xf>
    <xf borderId="0" fillId="40" fontId="97" numFmtId="0" xfId="0" applyAlignment="1" applyFill="1" applyFont="1">
      <alignment horizontal="center" readingOrder="0" vertical="center"/>
    </xf>
    <xf borderId="0" fillId="36" fontId="113" numFmtId="0" xfId="0" applyAlignment="1" applyFont="1">
      <alignment horizontal="center" readingOrder="0" vertical="center"/>
    </xf>
    <xf borderId="0" fillId="20" fontId="114" numFmtId="0" xfId="0" applyAlignment="1" applyFont="1">
      <alignment horizontal="center" readingOrder="0" vertical="center"/>
    </xf>
    <xf borderId="0" fillId="41" fontId="115" numFmtId="0" xfId="0" applyAlignment="1" applyFill="1" applyFont="1">
      <alignment horizontal="center" readingOrder="0" vertical="center"/>
    </xf>
    <xf borderId="47" fillId="0" fontId="116" numFmtId="0" xfId="0" applyAlignment="1" applyBorder="1" applyFont="1">
      <alignment horizontal="left" readingOrder="0" vertical="center"/>
    </xf>
    <xf borderId="0" fillId="27" fontId="81" numFmtId="0" xfId="0" applyAlignment="1" applyFont="1">
      <alignment horizontal="center" readingOrder="0" vertical="center"/>
    </xf>
    <xf borderId="47" fillId="0" fontId="117" numFmtId="0" xfId="0" applyAlignment="1" applyBorder="1" applyFont="1">
      <alignment horizontal="left" vertical="center"/>
    </xf>
    <xf borderId="0" fillId="20" fontId="1" numFmtId="0" xfId="0" applyAlignment="1" applyFont="1">
      <alignment horizontal="center" readingOrder="0" vertical="center"/>
    </xf>
    <xf borderId="0" fillId="30" fontId="1" numFmtId="0" xfId="0" applyAlignment="1" applyFont="1">
      <alignment horizontal="center" readingOrder="0" vertical="bottom"/>
    </xf>
    <xf borderId="0" fillId="14" fontId="81" numFmtId="0" xfId="0" applyAlignment="1" applyFont="1">
      <alignment horizontal="center" readingOrder="0" vertical="center"/>
    </xf>
    <xf borderId="47" fillId="20" fontId="1" numFmtId="0" xfId="0" applyAlignment="1" applyBorder="1" applyFont="1">
      <alignment horizontal="center" readingOrder="0" vertical="center"/>
    </xf>
    <xf borderId="0" fillId="11" fontId="10" numFmtId="0" xfId="0" applyAlignment="1" applyFont="1">
      <alignment horizontal="center" readingOrder="0" vertical="center"/>
    </xf>
    <xf borderId="0" fillId="20" fontId="118" numFmtId="0" xfId="0" applyAlignment="1" applyFont="1">
      <alignment horizontal="center" readingOrder="0" vertical="center"/>
    </xf>
    <xf borderId="47" fillId="0" fontId="81" numFmtId="0" xfId="0" applyAlignment="1" applyBorder="1" applyFont="1">
      <alignment horizontal="center" readingOrder="0" vertical="center"/>
    </xf>
    <xf borderId="0" fillId="9" fontId="81" numFmtId="0" xfId="0" applyAlignment="1" applyFont="1">
      <alignment horizontal="center" readingOrder="0" vertical="bottom"/>
    </xf>
    <xf borderId="47" fillId="0" fontId="119" numFmtId="0" xfId="0" applyAlignment="1" applyBorder="1" applyFont="1">
      <alignment horizontal="left" readingOrder="0" vertical="center"/>
    </xf>
    <xf borderId="0" fillId="10" fontId="96" numFmtId="0" xfId="0" applyAlignment="1" applyFont="1">
      <alignment horizontal="center" readingOrder="0" vertical="bottom"/>
    </xf>
    <xf borderId="47" fillId="0" fontId="120" numFmtId="0" xfId="0" applyAlignment="1" applyBorder="1" applyFont="1">
      <alignment horizontal="left" vertical="center"/>
    </xf>
    <xf borderId="47" fillId="0" fontId="121" numFmtId="0" xfId="0" applyAlignment="1" applyBorder="1" applyFont="1">
      <alignment horizontal="left" readingOrder="0" vertical="center"/>
    </xf>
    <xf borderId="0" fillId="42" fontId="122" numFmtId="0" xfId="0" applyAlignment="1" applyFill="1" applyFont="1">
      <alignment horizontal="center" readingOrder="0" vertical="bottom"/>
    </xf>
    <xf borderId="47" fillId="0" fontId="123" numFmtId="0" xfId="0" applyAlignment="1" applyBorder="1" applyFont="1">
      <alignment readingOrder="0" shrinkToFit="0" vertical="bottom" wrapText="1"/>
    </xf>
    <xf borderId="47" fillId="0" fontId="124" numFmtId="0" xfId="0" applyAlignment="1" applyBorder="1" applyFont="1">
      <alignment horizontal="left" readingOrder="0" vertical="center"/>
    </xf>
    <xf borderId="47" fillId="20" fontId="97" numFmtId="0" xfId="0" applyAlignment="1" applyBorder="1" applyFont="1">
      <alignment horizontal="center" readingOrder="0" vertical="center"/>
    </xf>
    <xf borderId="0" fillId="0" fontId="125" numFmtId="0" xfId="0" applyAlignment="1" applyFont="1">
      <alignment horizontal="center" readingOrder="0" vertical="center"/>
    </xf>
    <xf borderId="0" fillId="10" fontId="96" numFmtId="0" xfId="0" applyAlignment="1" applyFont="1">
      <alignment horizontal="center" readingOrder="0" vertical="center"/>
    </xf>
    <xf borderId="0" fillId="23" fontId="88" numFmtId="0" xfId="0" applyAlignment="1" applyFont="1">
      <alignment horizontal="center" readingOrder="0"/>
    </xf>
    <xf borderId="0" fillId="0" fontId="126" numFmtId="0" xfId="0" applyAlignment="1" applyFont="1">
      <alignment horizontal="center" readingOrder="0" vertical="center"/>
    </xf>
    <xf borderId="50" fillId="20" fontId="97" numFmtId="0" xfId="0" applyAlignment="1" applyBorder="1" applyFont="1">
      <alignment horizontal="center" readingOrder="0" vertical="center"/>
    </xf>
    <xf borderId="0" fillId="0" fontId="127" numFmtId="0" xfId="0" applyAlignment="1" applyFont="1">
      <alignment horizontal="center" readingOrder="0" vertical="center"/>
    </xf>
    <xf borderId="74" fillId="8" fontId="81" numFmtId="0" xfId="0" applyAlignment="1" applyBorder="1" applyFont="1">
      <alignment horizontal="center" vertical="center"/>
    </xf>
    <xf borderId="57" fillId="8" fontId="13" numFmtId="0" xfId="0" applyAlignment="1" applyBorder="1" applyFont="1">
      <alignment horizontal="left" vertical="center"/>
    </xf>
    <xf borderId="0" fillId="20" fontId="10" numFmtId="0" xfId="0" applyAlignment="1" applyFont="1">
      <alignment horizontal="center" readingOrder="0" vertical="center"/>
    </xf>
    <xf borderId="0" fillId="0" fontId="65" numFmtId="0" xfId="0" applyAlignment="1" applyFont="1">
      <alignment horizontal="center" readingOrder="0" vertical="center"/>
    </xf>
    <xf borderId="47" fillId="0" fontId="128" numFmtId="0" xfId="0" applyAlignment="1" applyBorder="1" applyFont="1">
      <alignment readingOrder="0"/>
    </xf>
    <xf borderId="0" fillId="7" fontId="89" numFmtId="0" xfId="0" applyAlignment="1" applyFont="1">
      <alignment horizontal="center" readingOrder="0" vertical="center"/>
    </xf>
    <xf borderId="47" fillId="0" fontId="129" numFmtId="0" xfId="0" applyAlignment="1" applyBorder="1" applyFont="1">
      <alignment readingOrder="0"/>
    </xf>
    <xf borderId="0" fillId="10" fontId="98" numFmtId="0" xfId="0" applyAlignment="1" applyFont="1">
      <alignment horizontal="center" readingOrder="0" vertical="center"/>
    </xf>
    <xf borderId="47" fillId="0" fontId="130" numFmtId="0" xfId="0" applyAlignment="1" applyBorder="1" applyFont="1">
      <alignment readingOrder="0"/>
    </xf>
    <xf borderId="0" fillId="0" fontId="13" numFmtId="0" xfId="0" applyAlignment="1" applyFont="1">
      <alignment readingOrder="0"/>
    </xf>
    <xf borderId="0" fillId="9" fontId="65" numFmtId="0" xfId="0" applyAlignment="1" applyFont="1">
      <alignment horizontal="center" readingOrder="0" vertical="bottom"/>
    </xf>
    <xf borderId="47" fillId="0" fontId="131" numFmtId="0" xfId="0" applyAlignment="1" applyBorder="1" applyFont="1">
      <alignment readingOrder="0"/>
    </xf>
    <xf borderId="0" fillId="5" fontId="10" numFmtId="0" xfId="0" applyAlignment="1" applyFont="1">
      <alignment horizontal="center" readingOrder="0" vertical="center"/>
    </xf>
    <xf borderId="47" fillId="0" fontId="132" numFmtId="0" xfId="0" applyAlignment="1" applyBorder="1" applyFont="1">
      <alignment readingOrder="0"/>
    </xf>
    <xf borderId="0" fillId="0" fontId="133" numFmtId="0" xfId="0" applyAlignment="1" applyFont="1">
      <alignment horizontal="center" readingOrder="0" vertical="center"/>
    </xf>
    <xf borderId="0" fillId="0" fontId="13" numFmtId="0" xfId="0" applyAlignment="1" applyFont="1">
      <alignment horizontal="center" vertical="center"/>
    </xf>
    <xf borderId="47" fillId="0" fontId="134" numFmtId="0" xfId="0" applyAlignment="1" applyBorder="1" applyFont="1">
      <alignment readingOrder="0"/>
    </xf>
    <xf borderId="0" fillId="0" fontId="135" numFmtId="0" xfId="0" applyAlignment="1" applyFont="1">
      <alignment horizontal="center" readingOrder="0" vertical="center"/>
    </xf>
    <xf borderId="47" fillId="0" fontId="136" numFmtId="0" xfId="0" applyAlignment="1" applyBorder="1" applyFont="1">
      <alignment horizontal="left" readingOrder="0" vertical="center"/>
    </xf>
    <xf borderId="0" fillId="0" fontId="137" numFmtId="0" xfId="0" applyAlignment="1" applyFont="1">
      <alignment readingOrder="0"/>
    </xf>
    <xf borderId="0" fillId="12" fontId="10" numFmtId="0" xfId="0" applyAlignment="1" applyFont="1">
      <alignment horizontal="center" readingOrder="0" vertical="center"/>
    </xf>
    <xf borderId="0" fillId="0" fontId="138" numFmtId="0" xfId="0" applyAlignment="1" applyFont="1">
      <alignment readingOrder="0"/>
    </xf>
    <xf borderId="47" fillId="4" fontId="139" numFmtId="0" xfId="0" applyAlignment="1" applyBorder="1" applyFont="1">
      <alignment readingOrder="0" shrinkToFit="0" vertical="center" wrapText="0"/>
    </xf>
    <xf borderId="0" fillId="12" fontId="10" numFmtId="0" xfId="0" applyAlignment="1" applyFont="1">
      <alignment horizontal="center" readingOrder="0"/>
    </xf>
    <xf borderId="0" fillId="0" fontId="140" numFmtId="0" xfId="0" applyAlignment="1" applyFont="1">
      <alignment readingOrder="0"/>
    </xf>
    <xf borderId="0" fillId="0" fontId="141" numFmtId="0" xfId="0" applyAlignment="1" applyFont="1">
      <alignment readingOrder="0"/>
    </xf>
    <xf borderId="0" fillId="0" fontId="81" numFmtId="0" xfId="0" applyAlignment="1" applyFont="1">
      <alignment horizontal="center" readingOrder="0"/>
    </xf>
    <xf borderId="0" fillId="0" fontId="142" numFmtId="0" xfId="0" applyAlignment="1" applyFont="1">
      <alignment readingOrder="0"/>
    </xf>
    <xf borderId="0" fillId="0" fontId="143" numFmtId="0" xfId="0" applyFont="1"/>
    <xf borderId="0" fillId="0" fontId="144" numFmtId="0" xfId="0" applyAlignment="1" applyFont="1">
      <alignment readingOrder="0"/>
    </xf>
    <xf borderId="0" fillId="8" fontId="14" numFmtId="0" xfId="0" applyAlignment="1" applyFont="1">
      <alignment horizontal="center" vertical="center"/>
    </xf>
    <xf borderId="0" fillId="8" fontId="65" numFmtId="0" xfId="0" applyAlignment="1" applyFont="1">
      <alignment horizontal="center" vertical="center"/>
    </xf>
    <xf borderId="56" fillId="8" fontId="65" numFmtId="0" xfId="0" applyAlignment="1" applyBorder="1" applyFont="1">
      <alignment horizontal="center" vertical="center"/>
    </xf>
    <xf borderId="0" fillId="8" fontId="145" numFmtId="0" xfId="0" applyAlignment="1" applyFont="1">
      <alignment horizontal="left" vertical="center"/>
    </xf>
    <xf borderId="0" fillId="8" fontId="146" numFmtId="0" xfId="0" applyAlignment="1" applyFont="1">
      <alignment horizontal="center" vertical="center"/>
    </xf>
    <xf borderId="0" fillId="0" fontId="147" numFmtId="0" xfId="0" applyAlignment="1" applyFont="1">
      <alignment horizontal="center" readingOrder="0" vertical="center"/>
    </xf>
    <xf borderId="0" fillId="0" fontId="148" numFmtId="0" xfId="0" applyAlignment="1" applyFont="1">
      <alignment readingOrder="0"/>
    </xf>
    <xf borderId="47" fillId="0" fontId="81" numFmtId="0" xfId="0" applyAlignment="1" applyBorder="1" applyFont="1">
      <alignment horizontal="center" vertical="center"/>
    </xf>
    <xf borderId="0" fillId="0" fontId="81" numFmtId="0" xfId="0" applyAlignment="1" applyFont="1">
      <alignment horizontal="center" vertical="center"/>
    </xf>
    <xf borderId="0" fillId="0" fontId="3" numFmtId="0" xfId="0" applyAlignment="1" applyFont="1">
      <alignment readingOrder="0"/>
    </xf>
    <xf borderId="0" fillId="0" fontId="81" numFmtId="0" xfId="0" applyAlignment="1" applyFont="1">
      <alignment horizontal="center" vertical="center"/>
    </xf>
    <xf borderId="47" fillId="0" fontId="13" numFmtId="0" xfId="0" applyAlignment="1" applyBorder="1" applyFont="1">
      <alignment horizontal="left" vertical="center"/>
    </xf>
    <xf borderId="47" fillId="0" fontId="13" numFmtId="0" xfId="0" applyAlignment="1" applyBorder="1" applyFont="1">
      <alignment horizontal="left" vertical="center"/>
    </xf>
    <xf borderId="0" fillId="0" fontId="13" numFmtId="0" xfId="0" applyAlignment="1" applyFont="1">
      <alignment horizontal="left" vertical="center"/>
    </xf>
    <xf borderId="50" fillId="0" fontId="13" numFmtId="0" xfId="0" applyAlignment="1" applyBorder="1" applyFont="1">
      <alignment horizontal="center" vertical="center"/>
    </xf>
    <xf borderId="75" fillId="28" fontId="13" numFmtId="0" xfId="0" applyAlignment="1" applyBorder="1" applyFont="1">
      <alignment horizontal="center" vertical="center"/>
    </xf>
    <xf borderId="31" fillId="28" fontId="13" numFmtId="0" xfId="0" applyAlignment="1" applyBorder="1" applyFont="1">
      <alignment horizontal="center" vertical="center"/>
    </xf>
    <xf borderId="32" fillId="28" fontId="13" numFmtId="0" xfId="0" applyAlignment="1" applyBorder="1" applyFont="1">
      <alignment horizontal="center" vertical="center"/>
    </xf>
    <xf borderId="35" fillId="20" fontId="10" numFmtId="0" xfId="0" applyAlignment="1" applyBorder="1" applyFont="1">
      <alignment horizontal="center" readingOrder="0" vertical="center"/>
    </xf>
    <xf borderId="73" fillId="20" fontId="5" numFmtId="0" xfId="0" applyAlignment="1" applyBorder="1" applyFont="1">
      <alignment horizontal="center" shrinkToFit="0" vertical="center" wrapText="1"/>
    </xf>
    <xf borderId="71" fillId="28" fontId="13" numFmtId="0" xfId="0" applyAlignment="1" applyBorder="1" applyFont="1">
      <alignment horizontal="center" vertical="center"/>
    </xf>
    <xf borderId="73" fillId="28" fontId="64" numFmtId="0" xfId="0" applyAlignment="1" applyBorder="1" applyFont="1">
      <alignment horizontal="center" vertical="center"/>
    </xf>
    <xf borderId="25" fillId="28" fontId="81" numFmtId="0" xfId="0" applyAlignment="1" applyBorder="1" applyFont="1">
      <alignment horizontal="center" vertical="center"/>
    </xf>
    <xf borderId="25" fillId="28" fontId="13" numFmtId="0" xfId="0" applyAlignment="1" applyBorder="1" applyFont="1">
      <alignment horizontal="center" vertical="center"/>
    </xf>
    <xf borderId="25" fillId="28" fontId="64" numFmtId="0" xfId="0" applyAlignment="1" applyBorder="1" applyFont="1">
      <alignment horizontal="center" vertical="center"/>
    </xf>
    <xf borderId="20" fillId="28" fontId="13" numFmtId="0" xfId="0" applyAlignment="1" applyBorder="1" applyFont="1">
      <alignment horizontal="center" vertical="center"/>
    </xf>
    <xf borderId="0" fillId="4" fontId="81" numFmtId="0" xfId="0" applyAlignment="1" applyFont="1">
      <alignment horizontal="center" readingOrder="0" vertical="center"/>
    </xf>
    <xf borderId="0" fillId="4" fontId="149" numFmtId="0" xfId="0" applyAlignment="1" applyFont="1">
      <alignment horizontal="left" readingOrder="0" shrinkToFit="0" vertical="center" wrapText="1"/>
    </xf>
    <xf borderId="0" fillId="43" fontId="1" numFmtId="0" xfId="0" applyAlignment="1" applyFill="1" applyFont="1">
      <alignment horizontal="center" readingOrder="0" vertical="center"/>
    </xf>
    <xf borderId="47" fillId="43" fontId="1" numFmtId="0" xfId="0" applyAlignment="1" applyBorder="1" applyFont="1">
      <alignment horizontal="center" readingOrder="0" vertical="center"/>
    </xf>
    <xf borderId="0" fillId="2" fontId="81" numFmtId="0" xfId="0" applyAlignment="1" applyFont="1">
      <alignment horizontal="center" readingOrder="0" vertical="center"/>
    </xf>
    <xf borderId="0" fillId="8" fontId="97" numFmtId="0" xfId="0" applyAlignment="1" applyFont="1">
      <alignment horizontal="center" readingOrder="0" vertical="center"/>
    </xf>
    <xf borderId="0" fillId="2" fontId="150" numFmtId="0" xfId="0" applyAlignment="1" applyFont="1">
      <alignment horizontal="left" readingOrder="0" shrinkToFit="0" vertical="center" wrapText="1"/>
    </xf>
    <xf borderId="0" fillId="28" fontId="13" numFmtId="0" xfId="0" applyAlignment="1" applyFont="1">
      <alignment horizontal="center" vertical="center"/>
    </xf>
    <xf borderId="53" fillId="43" fontId="1" numFmtId="0" xfId="0" applyAlignment="1" applyBorder="1" applyFont="1">
      <alignment horizontal="center" readingOrder="0" vertical="center"/>
    </xf>
    <xf borderId="0" fillId="0" fontId="151" numFmtId="0" xfId="0" applyAlignment="1" applyFont="1">
      <alignment horizontal="center" readingOrder="0" vertical="center"/>
    </xf>
    <xf borderId="0" fillId="2" fontId="152" numFmtId="0" xfId="0" applyAlignment="1" applyFont="1">
      <alignment horizontal="left" readingOrder="0" shrinkToFit="0" vertical="center" wrapText="1"/>
    </xf>
    <xf borderId="0" fillId="8" fontId="13" numFmtId="0" xfId="0" applyAlignment="1" applyFont="1">
      <alignment horizontal="left" shrinkToFit="0" vertical="center" wrapText="1"/>
    </xf>
    <xf borderId="47" fillId="8" fontId="81" numFmtId="0" xfId="0" applyAlignment="1" applyBorder="1" applyFont="1">
      <alignment horizontal="center" vertical="center"/>
    </xf>
    <xf borderId="0" fillId="0" fontId="153" numFmtId="0" xfId="0" applyAlignment="1" applyFont="1">
      <alignment horizontal="left" shrinkToFit="0" vertical="center" wrapText="1"/>
    </xf>
    <xf borderId="0" fillId="0" fontId="154" numFmtId="0" xfId="0" applyAlignment="1" applyFont="1">
      <alignment horizontal="left" readingOrder="0" shrinkToFit="0" vertical="center" wrapText="1"/>
    </xf>
    <xf borderId="53" fillId="32" fontId="1" numFmtId="0" xfId="0" applyAlignment="1" applyBorder="1" applyFont="1">
      <alignment horizontal="center" readingOrder="0" vertical="center"/>
    </xf>
    <xf borderId="0" fillId="38" fontId="81" numFmtId="0" xfId="0" applyAlignment="1" applyFont="1">
      <alignment horizontal="center" readingOrder="0" vertical="center"/>
    </xf>
    <xf borderId="0" fillId="0" fontId="155" numFmtId="0" xfId="0" applyAlignment="1" applyFont="1">
      <alignment horizontal="left" shrinkToFit="0" vertical="center" wrapText="1"/>
    </xf>
    <xf borderId="0" fillId="20" fontId="97" numFmtId="0" xfId="0" applyAlignment="1" applyFont="1">
      <alignment horizontal="center"/>
    </xf>
    <xf borderId="47" fillId="20" fontId="97" numFmtId="0" xfId="0" applyAlignment="1" applyBorder="1" applyFont="1">
      <alignment horizontal="center"/>
    </xf>
    <xf borderId="0" fillId="0" fontId="156" numFmtId="0" xfId="0" applyAlignment="1" applyFont="1">
      <alignment horizontal="left" readingOrder="0" shrinkToFit="0" vertical="center" wrapText="1"/>
    </xf>
    <xf borderId="0" fillId="0" fontId="157" numFmtId="0" xfId="0" applyAlignment="1" applyFont="1">
      <alignment horizontal="center" readingOrder="0"/>
    </xf>
    <xf borderId="53" fillId="27" fontId="1" numFmtId="0" xfId="0" applyAlignment="1" applyBorder="1" applyFont="1">
      <alignment horizontal="center" readingOrder="0" vertical="center"/>
    </xf>
    <xf borderId="47" fillId="27" fontId="1" numFmtId="0" xfId="0" applyAlignment="1" applyBorder="1" applyFont="1">
      <alignment horizontal="center" readingOrder="0" vertical="center"/>
    </xf>
    <xf borderId="0" fillId="4" fontId="158" numFmtId="0" xfId="0" applyAlignment="1" applyFont="1">
      <alignment horizontal="center"/>
    </xf>
    <xf borderId="0" fillId="14" fontId="1" numFmtId="0" xfId="0" applyAlignment="1" applyFont="1">
      <alignment horizontal="center" readingOrder="0" vertical="center"/>
    </xf>
    <xf borderId="0" fillId="0" fontId="159" numFmtId="0" xfId="0" applyAlignment="1" applyFont="1">
      <alignment horizontal="left" shrinkToFit="0" vertical="center" wrapText="1"/>
    </xf>
    <xf borderId="0" fillId="4" fontId="160" numFmtId="0" xfId="0" applyAlignment="1" applyFont="1">
      <alignment horizontal="center"/>
    </xf>
    <xf borderId="0" fillId="11" fontId="10" numFmtId="0" xfId="0" applyAlignment="1" applyFont="1">
      <alignment horizontal="center" readingOrder="0" vertical="center"/>
    </xf>
    <xf borderId="0" fillId="9" fontId="81" numFmtId="0" xfId="0" applyAlignment="1" applyFont="1">
      <alignment horizontal="center" readingOrder="0" vertical="center"/>
    </xf>
    <xf borderId="47" fillId="20" fontId="1" numFmtId="0" xfId="0" applyAlignment="1" applyBorder="1" applyFont="1">
      <alignment horizontal="center" readingOrder="0"/>
    </xf>
    <xf borderId="47" fillId="20" fontId="97" numFmtId="0" xfId="0" applyAlignment="1" applyBorder="1" applyFont="1">
      <alignment horizontal="center" readingOrder="0"/>
    </xf>
    <xf borderId="0" fillId="4" fontId="161" numFmtId="0" xfId="0" applyAlignment="1" applyFont="1">
      <alignment horizontal="left" shrinkToFit="0" vertical="center" wrapText="1"/>
    </xf>
    <xf borderId="47" fillId="0" fontId="13" numFmtId="0" xfId="0" applyAlignment="1" applyBorder="1" applyFont="1">
      <alignment horizontal="center" readingOrder="0" vertical="center"/>
    </xf>
    <xf borderId="0" fillId="2" fontId="162" numFmtId="0" xfId="0" applyAlignment="1" applyFont="1">
      <alignment horizontal="left" shrinkToFit="0" vertical="center" wrapText="1"/>
    </xf>
    <xf borderId="0" fillId="4" fontId="163" numFmtId="0" xfId="0" applyAlignment="1" applyFont="1">
      <alignment horizontal="left" shrinkToFit="0" vertical="center" wrapText="1"/>
    </xf>
    <xf borderId="0" fillId="0" fontId="164" numFmtId="0" xfId="0" applyAlignment="1" applyFont="1">
      <alignment horizontal="left" readingOrder="0" shrinkToFit="0" vertical="center" wrapText="1"/>
    </xf>
    <xf borderId="0" fillId="0" fontId="165" numFmtId="0" xfId="0" applyAlignment="1" applyFont="1">
      <alignment horizontal="left" readingOrder="0" shrinkToFit="0" vertical="center" wrapText="1"/>
    </xf>
    <xf borderId="0" fillId="0" fontId="166" numFmtId="0" xfId="0" applyAlignment="1" applyFont="1">
      <alignment horizontal="left" readingOrder="0" shrinkToFit="0" vertical="center" wrapText="1"/>
    </xf>
    <xf borderId="0" fillId="8" fontId="97" numFmtId="0" xfId="0" applyAlignment="1" applyFont="1">
      <alignment horizontal="center"/>
    </xf>
    <xf borderId="0" fillId="8" fontId="13" numFmtId="0" xfId="0" applyAlignment="1" applyFont="1">
      <alignment horizontal="left" vertical="center"/>
    </xf>
    <xf borderId="0" fillId="8" fontId="97" numFmtId="0" xfId="0" applyAlignment="1" applyFont="1">
      <alignment horizontal="center" vertical="center"/>
    </xf>
    <xf borderId="0" fillId="0" fontId="167" numFmtId="0" xfId="0" applyAlignment="1" applyFont="1">
      <alignment readingOrder="0" vertical="center"/>
    </xf>
    <xf borderId="0" fillId="0" fontId="168" numFmtId="0" xfId="0" applyAlignment="1" applyFont="1">
      <alignment readingOrder="0" shrinkToFit="0" vertical="center" wrapText="0"/>
    </xf>
    <xf borderId="0" fillId="0" fontId="169" numFmtId="0" xfId="0" applyAlignment="1" applyFont="1">
      <alignment readingOrder="0" shrinkToFit="0" vertical="center" wrapText="0"/>
    </xf>
    <xf borderId="0" fillId="0" fontId="170" numFmtId="0" xfId="0" applyAlignment="1" applyFont="1">
      <alignment horizontal="left" readingOrder="0" shrinkToFit="0" vertical="center" wrapText="0"/>
    </xf>
    <xf borderId="47" fillId="27" fontId="81" numFmtId="0" xfId="0" applyAlignment="1" applyBorder="1" applyFont="1">
      <alignment horizontal="center" readingOrder="0" vertical="center"/>
    </xf>
    <xf borderId="0" fillId="0" fontId="1" numFmtId="0" xfId="0" applyAlignment="1" applyFont="1">
      <alignment horizontal="center" readingOrder="0" vertical="center"/>
    </xf>
    <xf borderId="0" fillId="0" fontId="171" numFmtId="0" xfId="0" applyAlignment="1" applyFont="1">
      <alignment readingOrder="0" shrinkToFit="0" vertical="center" wrapText="0"/>
    </xf>
    <xf borderId="0" fillId="0" fontId="172" numFmtId="0" xfId="0" applyAlignment="1" applyFont="1">
      <alignment horizontal="left" readingOrder="0" shrinkToFit="0" vertical="center" wrapText="1"/>
    </xf>
    <xf borderId="0" fillId="0" fontId="173" numFmtId="0" xfId="0" applyAlignment="1" applyFont="1">
      <alignment readingOrder="0" shrinkToFit="0" vertical="center" wrapText="1"/>
    </xf>
    <xf borderId="0" fillId="0" fontId="174" numFmtId="0" xfId="0" applyAlignment="1" applyFont="1">
      <alignment readingOrder="0" vertical="center"/>
    </xf>
    <xf borderId="53" fillId="0" fontId="13" numFmtId="0" xfId="0" applyAlignment="1" applyBorder="1" applyFont="1">
      <alignment horizontal="left" readingOrder="0" vertical="center"/>
    </xf>
    <xf borderId="0" fillId="23" fontId="88" numFmtId="0" xfId="0" applyAlignment="1" applyFont="1">
      <alignment horizontal="center" readingOrder="0" vertical="center"/>
    </xf>
    <xf borderId="0" fillId="8" fontId="175" numFmtId="0" xfId="0" applyAlignment="1" applyFont="1">
      <alignment horizontal="center" vertical="center"/>
    </xf>
    <xf borderId="0" fillId="8" fontId="176" numFmtId="0" xfId="0" applyAlignment="1" applyFont="1">
      <alignment horizontal="center" vertical="center"/>
    </xf>
    <xf borderId="56" fillId="8" fontId="176" numFmtId="0" xfId="0" applyAlignment="1" applyBorder="1" applyFont="1">
      <alignment horizontal="center" vertical="center"/>
    </xf>
    <xf borderId="0" fillId="8" fontId="177" numFmtId="0" xfId="0" applyAlignment="1" applyFont="1">
      <alignment horizontal="center" vertical="center"/>
    </xf>
    <xf borderId="0" fillId="4" fontId="178" numFmtId="0" xfId="0" applyAlignment="1" applyFont="1">
      <alignment readingOrder="0"/>
    </xf>
    <xf borderId="0" fillId="2" fontId="179" numFmtId="0" xfId="0" applyAlignment="1" applyFont="1">
      <alignment readingOrder="0"/>
    </xf>
    <xf borderId="0" fillId="4" fontId="180" numFmtId="0" xfId="0" applyAlignment="1" applyFont="1">
      <alignment readingOrder="0" shrinkToFit="0" wrapText="1"/>
    </xf>
    <xf borderId="0" fillId="2" fontId="181" numFmtId="0" xfId="0" applyAlignment="1" applyFont="1">
      <alignment readingOrder="0"/>
    </xf>
    <xf borderId="0" fillId="4" fontId="182" numFmtId="0" xfId="0" applyAlignment="1" applyFont="1">
      <alignment readingOrder="0" vertical="center"/>
    </xf>
    <xf borderId="0" fillId="4" fontId="183" numFmtId="0" xfId="0" applyAlignment="1" applyFont="1">
      <alignment readingOrder="0" shrinkToFit="0" wrapText="1"/>
    </xf>
    <xf borderId="0" fillId="2" fontId="183" numFmtId="0" xfId="0" applyAlignment="1" applyFont="1">
      <alignment readingOrder="0" shrinkToFit="0" wrapText="1"/>
    </xf>
    <xf borderId="0" fillId="2" fontId="184" numFmtId="0" xfId="0" applyAlignment="1" applyFont="1">
      <alignment horizontal="center" readingOrder="0" vertical="center"/>
    </xf>
    <xf borderId="0" fillId="9" fontId="184" numFmtId="0" xfId="0" applyAlignment="1" applyFont="1">
      <alignment horizontal="center" readingOrder="0" vertical="center"/>
    </xf>
    <xf borderId="0" fillId="2" fontId="3" numFmtId="0" xfId="0" applyAlignment="1" applyFont="1">
      <alignment readingOrder="0"/>
    </xf>
    <xf borderId="0" fillId="0" fontId="184" numFmtId="0" xfId="0" applyAlignment="1" applyFont="1">
      <alignment horizontal="center" readingOrder="0" vertical="center"/>
    </xf>
    <xf borderId="0" fillId="4" fontId="3" numFmtId="0" xfId="0" applyAlignment="1" applyFont="1">
      <alignment readingOrder="0"/>
    </xf>
    <xf borderId="0" fillId="2" fontId="3" numFmtId="0" xfId="0" applyAlignment="1" applyFont="1">
      <alignment readingOrder="0" shrinkToFit="0" wrapText="1"/>
    </xf>
    <xf borderId="0" fillId="0" fontId="13" numFmtId="0" xfId="0" applyAlignment="1" applyFont="1">
      <alignment horizontal="left" shrinkToFit="0" vertical="center" wrapText="1"/>
    </xf>
    <xf borderId="47" fillId="0" fontId="13" numFmtId="0" xfId="0" applyAlignment="1" applyBorder="1" applyFont="1">
      <alignment horizontal="center" vertical="center"/>
    </xf>
    <xf borderId="63" fillId="0" fontId="13" numFmtId="0" xfId="0" applyAlignment="1" applyBorder="1" applyFont="1">
      <alignment horizontal="center" vertical="center"/>
    </xf>
    <xf borderId="35" fillId="20" fontId="5" numFmtId="0" xfId="0" applyAlignment="1" applyBorder="1" applyFont="1">
      <alignment horizontal="center" shrinkToFit="0" vertical="center" wrapText="1"/>
    </xf>
    <xf borderId="0" fillId="20" fontId="26" numFmtId="0" xfId="0" applyAlignment="1" applyFont="1">
      <alignment horizontal="center" vertical="center"/>
    </xf>
    <xf borderId="20" fillId="20" fontId="5" numFmtId="0" xfId="0" applyAlignment="1" applyBorder="1" applyFont="1">
      <alignment horizontal="center" readingOrder="0" vertical="center"/>
    </xf>
    <xf borderId="47" fillId="0" fontId="185" numFmtId="0" xfId="0" applyAlignment="1" applyBorder="1" applyFont="1">
      <alignment horizontal="left" readingOrder="0" vertical="center"/>
    </xf>
    <xf borderId="47" fillId="8" fontId="186" numFmtId="0" xfId="0" applyAlignment="1" applyBorder="1" applyFont="1">
      <alignment horizontal="left" vertical="center"/>
    </xf>
    <xf borderId="47" fillId="0" fontId="187" numFmtId="0" xfId="0" applyAlignment="1" applyBorder="1" applyFont="1">
      <alignment horizontal="left" vertical="center"/>
    </xf>
    <xf borderId="47" fillId="0" fontId="188" numFmtId="0" xfId="0" applyAlignment="1" applyBorder="1" applyFont="1">
      <alignment horizontal="left" vertical="center"/>
    </xf>
    <xf borderId="74" fillId="0" fontId="81" numFmtId="0" xfId="0" applyAlignment="1" applyBorder="1" applyFont="1">
      <alignment horizontal="center" readingOrder="0" vertical="center"/>
    </xf>
    <xf borderId="74" fillId="8" fontId="97" numFmtId="0" xfId="0" applyAlignment="1" applyBorder="1" applyFont="1">
      <alignment horizontal="center" readingOrder="0" vertical="center"/>
    </xf>
    <xf borderId="76" fillId="0" fontId="189" numFmtId="0" xfId="0" applyAlignment="1" applyBorder="1" applyFont="1">
      <alignment horizontal="left" vertical="center"/>
    </xf>
    <xf borderId="76" fillId="28" fontId="13" numFmtId="0" xfId="0" applyAlignment="1" applyBorder="1" applyFont="1">
      <alignment horizontal="center" vertical="center"/>
    </xf>
    <xf borderId="74" fillId="0" fontId="13" numFmtId="0" xfId="0" applyAlignment="1" applyBorder="1" applyFont="1">
      <alignment horizontal="center" readingOrder="0" vertical="center"/>
    </xf>
    <xf borderId="47" fillId="0" fontId="190" numFmtId="0" xfId="0" applyAlignment="1" applyBorder="1" applyFont="1">
      <alignment horizontal="left" readingOrder="0" vertical="center"/>
    </xf>
    <xf borderId="53" fillId="0" fontId="81" numFmtId="0" xfId="0" applyAlignment="1" applyBorder="1" applyFont="1">
      <alignment horizontal="center" readingOrder="0" vertical="center"/>
    </xf>
    <xf borderId="47" fillId="0" fontId="191" numFmtId="0" xfId="0" applyAlignment="1" applyBorder="1" applyFont="1">
      <alignment horizontal="left" vertical="center"/>
    </xf>
    <xf borderId="0" fillId="0" fontId="192" numFmtId="0" xfId="0" applyFont="1"/>
    <xf borderId="0" fillId="8" fontId="97" numFmtId="0" xfId="0" applyAlignment="1" applyFont="1">
      <alignment horizontal="center" vertical="center"/>
    </xf>
    <xf borderId="47" fillId="0" fontId="193" numFmtId="0" xfId="0" applyAlignment="1" applyBorder="1" applyFont="1">
      <alignment horizontal="left" readingOrder="0" vertical="center"/>
    </xf>
    <xf borderId="47" fillId="0" fontId="194" numFmtId="0" xfId="0" applyAlignment="1" applyBorder="1" applyFont="1">
      <alignment horizontal="left" readingOrder="0" vertical="center"/>
    </xf>
    <xf borderId="47" fillId="0" fontId="195" numFmtId="0" xfId="0" applyAlignment="1" applyBorder="1" applyFont="1">
      <alignment horizontal="left" readingOrder="0" shrinkToFit="0" vertical="center" wrapText="1"/>
    </xf>
    <xf borderId="0" fillId="0" fontId="196" numFmtId="0" xfId="0" applyAlignment="1" applyFont="1">
      <alignment readingOrder="0" shrinkToFit="0" wrapText="1"/>
    </xf>
    <xf borderId="0" fillId="8" fontId="97" numFmtId="0" xfId="0" applyAlignment="1" applyFont="1">
      <alignment horizontal="center" readingOrder="0"/>
    </xf>
    <xf borderId="0" fillId="0" fontId="197" numFmtId="0" xfId="0" applyAlignment="1" applyFont="1">
      <alignment readingOrder="0"/>
    </xf>
    <xf borderId="0" fillId="0" fontId="198" numFmtId="0" xfId="0" applyAlignment="1" applyFont="1">
      <alignment readingOrder="0"/>
    </xf>
    <xf borderId="47" fillId="0" fontId="199" numFmtId="0" xfId="0" applyAlignment="1" applyBorder="1" applyFont="1">
      <alignment horizontal="left" readingOrder="0" vertical="center"/>
    </xf>
    <xf borderId="0" fillId="0" fontId="13" numFmtId="0" xfId="0" applyFont="1"/>
    <xf borderId="0" fillId="0" fontId="200" numFmtId="0" xfId="0" applyAlignment="1" applyFont="1">
      <alignment readingOrder="0" shrinkToFit="0" wrapText="1"/>
    </xf>
    <xf borderId="0" fillId="20" fontId="201" numFmtId="0" xfId="0" applyAlignment="1" applyFont="1">
      <alignment horizontal="center" readingOrder="0" vertical="center"/>
    </xf>
    <xf borderId="50" fillId="28" fontId="177" numFmtId="0" xfId="0" applyAlignment="1" applyBorder="1" applyFont="1">
      <alignment horizontal="center" vertical="center"/>
    </xf>
    <xf borderId="0" fillId="0" fontId="176" numFmtId="0" xfId="0" applyAlignment="1" applyFont="1">
      <alignment horizontal="center" readingOrder="0" vertical="center"/>
    </xf>
    <xf borderId="0" fillId="0" fontId="177" numFmtId="0" xfId="0" applyAlignment="1" applyFont="1">
      <alignment horizontal="center" vertical="center"/>
    </xf>
    <xf borderId="0" fillId="0" fontId="147" numFmtId="0" xfId="0" applyAlignment="1" applyFont="1">
      <alignment horizontal="center" readingOrder="0" vertical="center"/>
    </xf>
    <xf borderId="0" fillId="0" fontId="184" numFmtId="0" xfId="0" applyAlignment="1" applyFont="1">
      <alignment horizontal="center" readingOrder="0" vertical="center"/>
    </xf>
    <xf borderId="0" fillId="0" fontId="202" numFmtId="0" xfId="0" applyAlignment="1" applyFont="1">
      <alignment readingOrder="0"/>
    </xf>
    <xf borderId="47" fillId="0" fontId="203" numFmtId="0" xfId="0" applyBorder="1" applyFont="1"/>
    <xf borderId="0" fillId="0" fontId="204" numFmtId="0" xfId="0" applyAlignment="1" applyFont="1">
      <alignment vertical="bottom"/>
    </xf>
    <xf borderId="73" fillId="28" fontId="64" numFmtId="0" xfId="0" applyAlignment="1" applyBorder="1" applyFont="1">
      <alignment horizontal="center" readingOrder="0" vertical="center"/>
    </xf>
    <xf borderId="0" fillId="30" fontId="81" numFmtId="0" xfId="0" applyAlignment="1" applyFont="1">
      <alignment horizontal="center" readingOrder="0" vertical="center"/>
    </xf>
    <xf borderId="0" fillId="0" fontId="97" numFmtId="0" xfId="0" applyAlignment="1" applyFont="1">
      <alignment horizontal="center" readingOrder="0" vertical="center"/>
    </xf>
    <xf borderId="0" fillId="0" fontId="13" numFmtId="0" xfId="0" applyAlignment="1" applyFont="1">
      <alignment horizontal="left" vertical="center"/>
    </xf>
    <xf borderId="45" fillId="8" fontId="81" numFmtId="0" xfId="0" applyAlignment="1" applyBorder="1" applyFont="1">
      <alignment horizontal="center" vertical="center"/>
    </xf>
    <xf borderId="47" fillId="0" fontId="205" numFmtId="0" xfId="0" applyAlignment="1" applyBorder="1" applyFont="1">
      <alignment horizontal="left" shrinkToFit="0" vertical="center" wrapText="1"/>
    </xf>
    <xf borderId="0" fillId="20" fontId="206" numFmtId="0" xfId="0" applyAlignment="1" applyFont="1">
      <alignment horizontal="center" readingOrder="0" vertical="center"/>
    </xf>
    <xf borderId="0" fillId="0" fontId="207" numFmtId="0" xfId="0" applyAlignment="1" applyFont="1">
      <alignment horizontal="center" readingOrder="0" vertical="center"/>
    </xf>
    <xf borderId="0" fillId="8" fontId="208" numFmtId="0" xfId="0" applyAlignment="1" applyFont="1">
      <alignment horizontal="center" vertical="center"/>
    </xf>
    <xf borderId="0" fillId="8" fontId="208" numFmtId="0" xfId="0" applyAlignment="1" applyFont="1">
      <alignment horizontal="center" readingOrder="0" vertical="center"/>
    </xf>
    <xf borderId="47" fillId="0" fontId="209" numFmtId="0" xfId="0" applyAlignment="1" applyBorder="1" applyFont="1">
      <alignment horizontal="left" readingOrder="0" shrinkToFit="0" vertical="center" wrapText="1"/>
    </xf>
    <xf borderId="0" fillId="0" fontId="210" numFmtId="0" xfId="0" applyAlignment="1" applyFont="1">
      <alignment readingOrder="0"/>
    </xf>
    <xf borderId="47" fillId="0" fontId="211" numFmtId="0" xfId="0" applyAlignment="1" applyBorder="1" applyFont="1">
      <alignment horizontal="left" vertical="center"/>
    </xf>
    <xf borderId="0" fillId="0" fontId="212" numFmtId="0" xfId="0" applyAlignment="1" applyFont="1">
      <alignment horizontal="center" readingOrder="0" vertical="center"/>
    </xf>
    <xf borderId="0" fillId="0" fontId="213" numFmtId="0" xfId="0" applyAlignment="1" applyFont="1">
      <alignment readingOrder="0" shrinkToFit="0" wrapText="1"/>
    </xf>
    <xf borderId="50" fillId="28" fontId="214" numFmtId="0" xfId="0" applyAlignment="1" applyBorder="1" applyFont="1">
      <alignment horizontal="center" vertical="center"/>
    </xf>
    <xf borderId="47" fillId="0" fontId="177" numFmtId="0" xfId="0" applyAlignment="1" applyBorder="1" applyFont="1">
      <alignment horizontal="center" readingOrder="0" vertical="center"/>
    </xf>
    <xf borderId="47" fillId="28" fontId="214" numFmtId="0" xfId="0" applyAlignment="1" applyBorder="1" applyFont="1">
      <alignment horizontal="center" vertical="center"/>
    </xf>
    <xf borderId="60" fillId="20" fontId="215" numFmtId="0" xfId="0" applyAlignment="1" applyBorder="1" applyFont="1">
      <alignment horizontal="center" readingOrder="0" vertical="center"/>
    </xf>
    <xf borderId="32" fillId="28" fontId="216" numFmtId="0" xfId="0" applyAlignment="1" applyBorder="1" applyFont="1">
      <alignment horizontal="center" vertical="center"/>
    </xf>
    <xf borderId="73" fillId="20" fontId="217" numFmtId="0" xfId="0" applyAlignment="1" applyBorder="1" applyFont="1">
      <alignment horizontal="center" shrinkToFit="0" vertical="center" wrapText="1"/>
    </xf>
    <xf borderId="32" fillId="28" fontId="177" numFmtId="0" xfId="0" applyAlignment="1" applyBorder="1" applyFont="1">
      <alignment horizontal="center" vertical="center"/>
    </xf>
    <xf borderId="19" fillId="20" fontId="217" numFmtId="0" xfId="0" applyAlignment="1" applyBorder="1" applyFont="1">
      <alignment horizontal="center" vertical="center"/>
    </xf>
    <xf borderId="20" fillId="20" fontId="201" numFmtId="0" xfId="0" applyAlignment="1" applyBorder="1" applyFont="1">
      <alignment horizontal="center" readingOrder="0" vertical="center"/>
    </xf>
    <xf borderId="25" fillId="20" fontId="218" numFmtId="0" xfId="0" applyAlignment="1" applyBorder="1" applyFont="1">
      <alignment horizontal="center" vertical="center"/>
    </xf>
    <xf borderId="25" fillId="20" fontId="218" numFmtId="0" xfId="0" applyAlignment="1" applyBorder="1" applyFont="1">
      <alignment horizontal="center" readingOrder="0" vertical="center"/>
    </xf>
    <xf borderId="25" fillId="20" fontId="29" numFmtId="0" xfId="0" applyAlignment="1" applyBorder="1" applyFont="1">
      <alignment horizontal="center" vertical="center"/>
    </xf>
    <xf borderId="20" fillId="28" fontId="175" numFmtId="0" xfId="0" applyAlignment="1" applyBorder="1" applyFont="1">
      <alignment horizontal="center" vertical="center"/>
    </xf>
    <xf borderId="73" fillId="28" fontId="219" numFmtId="0" xfId="0" applyAlignment="1" applyBorder="1" applyFont="1">
      <alignment horizontal="center" vertical="center"/>
    </xf>
    <xf borderId="20" fillId="28" fontId="177" numFmtId="0" xfId="0" applyAlignment="1" applyBorder="1" applyFont="1">
      <alignment horizontal="center" vertical="center"/>
    </xf>
    <xf borderId="0" fillId="44" fontId="212" numFmtId="0" xfId="0" applyAlignment="1" applyFill="1" applyFont="1">
      <alignment horizontal="center" readingOrder="0" vertical="center"/>
    </xf>
    <xf borderId="0" fillId="0" fontId="220" numFmtId="0" xfId="0" applyAlignment="1" applyFont="1">
      <alignment horizontal="left" readingOrder="0" vertical="center"/>
    </xf>
    <xf borderId="0" fillId="30" fontId="176" numFmtId="0" xfId="0" applyAlignment="1" applyFont="1">
      <alignment horizontal="center" readingOrder="0" vertical="center"/>
    </xf>
    <xf borderId="0" fillId="0" fontId="177" numFmtId="0" xfId="0" applyAlignment="1" applyFont="1">
      <alignment horizontal="center" readingOrder="0" vertical="center"/>
    </xf>
    <xf borderId="0" fillId="32" fontId="221" numFmtId="0" xfId="0" applyAlignment="1" applyFont="1">
      <alignment horizontal="center" readingOrder="0" vertical="center"/>
    </xf>
    <xf borderId="0" fillId="31" fontId="212" numFmtId="0" xfId="0" applyAlignment="1" applyFont="1">
      <alignment horizontal="center" readingOrder="0" vertical="center"/>
    </xf>
    <xf borderId="56" fillId="8" fontId="212" numFmtId="0" xfId="0" applyAlignment="1" applyBorder="1" applyFont="1">
      <alignment horizontal="center" vertical="center"/>
    </xf>
    <xf borderId="0" fillId="8" fontId="146" numFmtId="0" xfId="0" applyAlignment="1" applyFont="1">
      <alignment horizontal="left" vertical="center"/>
    </xf>
    <xf borderId="0" fillId="7" fontId="222" numFmtId="0" xfId="0" applyAlignment="1" applyFont="1">
      <alignment horizontal="center" readingOrder="0" vertical="center"/>
    </xf>
    <xf borderId="0" fillId="0" fontId="223" numFmtId="0" xfId="0" applyAlignment="1" applyFont="1">
      <alignment horizontal="left" vertical="center"/>
    </xf>
    <xf borderId="0" fillId="0" fontId="176" numFmtId="0" xfId="0" applyAlignment="1" applyFont="1">
      <alignment horizontal="center" readingOrder="0"/>
    </xf>
    <xf borderId="0" fillId="35" fontId="221" numFmtId="0" xfId="0" applyAlignment="1" applyFont="1">
      <alignment horizontal="center" readingOrder="0" vertical="center"/>
    </xf>
    <xf borderId="0" fillId="0" fontId="224" numFmtId="0" xfId="0" applyAlignment="1" applyFont="1">
      <alignment horizontal="left"/>
    </xf>
    <xf borderId="0" fillId="8" fontId="225" numFmtId="0" xfId="0" applyAlignment="1" applyFont="1">
      <alignment horizontal="center" readingOrder="0" vertical="center"/>
    </xf>
    <xf borderId="0" fillId="20" fontId="225" numFmtId="0" xfId="0" applyAlignment="1" applyFont="1">
      <alignment horizontal="center" readingOrder="0" vertical="center"/>
    </xf>
    <xf borderId="0" fillId="41" fontId="226" numFmtId="0" xfId="0" applyAlignment="1" applyFont="1">
      <alignment horizontal="center" readingOrder="0" vertical="center"/>
    </xf>
    <xf borderId="0" fillId="38" fontId="212" numFmtId="0" xfId="0" applyAlignment="1" applyFont="1">
      <alignment horizontal="center" readingOrder="0" vertical="center"/>
    </xf>
    <xf borderId="0" fillId="36" fontId="227" numFmtId="0" xfId="0" applyAlignment="1" applyFont="1">
      <alignment horizontal="center" readingOrder="0" vertical="center"/>
    </xf>
    <xf borderId="0" fillId="0" fontId="228" numFmtId="0" xfId="0" applyAlignment="1" applyFont="1">
      <alignment horizontal="left" shrinkToFit="0" vertical="center" wrapText="1"/>
    </xf>
    <xf borderId="0" fillId="11" fontId="225" numFmtId="0" xfId="0" applyAlignment="1" applyFont="1">
      <alignment horizontal="center" readingOrder="0" vertical="center"/>
    </xf>
    <xf borderId="0" fillId="8" fontId="225" numFmtId="0" xfId="0" applyAlignment="1" applyFont="1">
      <alignment horizontal="center" vertical="center"/>
    </xf>
    <xf borderId="0" fillId="0" fontId="229" numFmtId="0" xfId="0" applyFont="1"/>
    <xf borderId="32" fillId="28" fontId="177" numFmtId="0" xfId="0" applyBorder="1" applyFont="1"/>
    <xf borderId="0" fillId="0" fontId="176" numFmtId="0" xfId="0" applyAlignment="1" applyFont="1">
      <alignment horizontal="center"/>
    </xf>
    <xf borderId="0" fillId="20" fontId="225" numFmtId="0" xfId="0" applyAlignment="1" applyFont="1">
      <alignment horizontal="center"/>
    </xf>
    <xf borderId="0" fillId="0" fontId="177" numFmtId="0" xfId="0" applyAlignment="1" applyFont="1">
      <alignment horizontal="center"/>
    </xf>
    <xf borderId="0" fillId="0" fontId="230" numFmtId="0" xfId="0" applyAlignment="1" applyFont="1">
      <alignment horizontal="left" readingOrder="0" vertical="center"/>
    </xf>
    <xf borderId="0" fillId="34" fontId="221" numFmtId="0" xfId="0" applyAlignment="1" applyFont="1">
      <alignment horizontal="center" readingOrder="0" vertical="center"/>
    </xf>
    <xf borderId="0" fillId="42" fontId="231" numFmtId="0" xfId="0" applyAlignment="1" applyFont="1">
      <alignment horizontal="center" readingOrder="0" vertical="center"/>
    </xf>
    <xf borderId="0" fillId="10" fontId="232" numFmtId="0" xfId="0" applyAlignment="1" applyFont="1">
      <alignment horizontal="center" readingOrder="0" vertical="center"/>
    </xf>
    <xf borderId="32" fillId="8" fontId="177" numFmtId="0" xfId="0" applyAlignment="1" applyBorder="1" applyFont="1">
      <alignment horizontal="center" vertical="center"/>
    </xf>
    <xf borderId="0" fillId="0" fontId="233" numFmtId="0" xfId="0" applyAlignment="1" applyFont="1">
      <alignment horizontal="left" vertical="center"/>
    </xf>
    <xf borderId="69" fillId="8" fontId="225" numFmtId="0" xfId="0" applyAlignment="1" applyBorder="1" applyFont="1">
      <alignment horizontal="center" vertical="center"/>
    </xf>
    <xf borderId="55" fillId="8" fontId="225" numFmtId="0" xfId="0" applyAlignment="1" applyBorder="1" applyFont="1">
      <alignment horizontal="center" vertical="center"/>
    </xf>
    <xf borderId="0" fillId="0" fontId="234" numFmtId="0" xfId="0" applyAlignment="1" applyFont="1">
      <alignment readingOrder="0"/>
    </xf>
    <xf borderId="0" fillId="0" fontId="235" numFmtId="0" xfId="0" applyAlignment="1" applyFont="1">
      <alignment horizontal="left" readingOrder="0" vertical="center"/>
    </xf>
    <xf borderId="0" fillId="9" fontId="212" numFmtId="0" xfId="0" applyAlignment="1" applyFont="1">
      <alignment horizontal="center" readingOrder="0" vertical="center"/>
    </xf>
    <xf borderId="0" fillId="12" fontId="225" numFmtId="0" xfId="0" applyAlignment="1" applyFont="1">
      <alignment horizontal="center" readingOrder="0" vertical="center"/>
    </xf>
    <xf borderId="0" fillId="23" fontId="221" numFmtId="0" xfId="0" applyAlignment="1" applyFont="1">
      <alignment horizontal="center" readingOrder="0" vertical="center"/>
    </xf>
    <xf borderId="0" fillId="20" fontId="225" numFmtId="0" xfId="0" applyAlignment="1" applyFont="1">
      <alignment horizontal="center" readingOrder="0"/>
    </xf>
    <xf borderId="0" fillId="0" fontId="236" numFmtId="0" xfId="0" applyAlignment="1" applyFont="1">
      <alignment readingOrder="0" vertical="center"/>
    </xf>
    <xf borderId="0" fillId="0" fontId="177" numFmtId="0" xfId="0" applyAlignment="1" applyFont="1">
      <alignment horizontal="center" readingOrder="0" shrinkToFit="0" vertical="center" wrapText="1"/>
    </xf>
    <xf borderId="0" fillId="13" fontId="88" numFmtId="0" xfId="0" applyAlignment="1" applyFont="1">
      <alignment horizontal="center" readingOrder="0" vertical="center"/>
    </xf>
    <xf borderId="0" fillId="0" fontId="201" numFmtId="0" xfId="0" applyAlignment="1" applyFont="1">
      <alignment horizontal="center" readingOrder="0" vertical="center"/>
    </xf>
    <xf borderId="0" fillId="0" fontId="176" numFmtId="0" xfId="0" applyAlignment="1" applyFont="1">
      <alignment horizontal="center" vertical="center"/>
    </xf>
    <xf borderId="0" fillId="0" fontId="214" numFmtId="0" xfId="0" applyAlignment="1" applyFont="1">
      <alignment horizontal="center" vertical="center"/>
    </xf>
    <xf borderId="0" fillId="0" fontId="146" numFmtId="0" xfId="0" applyAlignment="1" applyFont="1">
      <alignment horizontal="left" vertical="center"/>
    </xf>
    <xf borderId="0" fillId="0" fontId="214" numFmtId="0" xfId="0" applyAlignment="1" applyFont="1">
      <alignment vertical="center"/>
    </xf>
    <xf borderId="32" fillId="0" fontId="177" numFmtId="0" xfId="0" applyAlignment="1" applyBorder="1" applyFont="1">
      <alignment horizontal="center" vertical="center"/>
    </xf>
    <xf borderId="18" fillId="41" fontId="237" numFmtId="0" xfId="0" applyAlignment="1" applyBorder="1" applyFont="1">
      <alignment horizontal="center" readingOrder="0" vertical="center"/>
    </xf>
    <xf borderId="0" fillId="0" fontId="238" numFmtId="0" xfId="0" applyAlignment="1" applyFont="1">
      <alignment horizontal="left" readingOrder="0" vertical="center"/>
    </xf>
    <xf borderId="0" fillId="0" fontId="238" numFmtId="0" xfId="0" applyAlignment="1" applyFont="1">
      <alignment horizontal="center" readingOrder="0" vertical="center"/>
    </xf>
    <xf borderId="30" fillId="14" fontId="239" numFmtId="0" xfId="0" applyAlignment="1" applyBorder="1" applyFont="1">
      <alignment horizontal="center" readingOrder="0" vertical="center"/>
    </xf>
    <xf borderId="0" fillId="14" fontId="239" numFmtId="0" xfId="0" applyAlignment="1" applyFont="1">
      <alignment horizontal="center" readingOrder="0" vertical="center"/>
    </xf>
    <xf borderId="13" fillId="8" fontId="81" numFmtId="0" xfId="0" applyAlignment="1" applyBorder="1" applyFont="1">
      <alignment horizontal="center" readingOrder="0" vertical="center"/>
    </xf>
    <xf borderId="30" fillId="0" fontId="81" numFmtId="0" xfId="0" applyAlignment="1" applyBorder="1" applyFont="1">
      <alignment horizontal="center" readingOrder="0" vertical="center"/>
    </xf>
    <xf borderId="73" fillId="0" fontId="81" numFmtId="0" xfId="0" applyAlignment="1" applyBorder="1" applyFont="1">
      <alignment horizontal="center" readingOrder="0" vertical="center"/>
    </xf>
    <xf borderId="73" fillId="0" fontId="81" numFmtId="0" xfId="0" applyAlignment="1" applyBorder="1" applyFont="1">
      <alignment horizontal="center" readingOrder="0"/>
    </xf>
    <xf borderId="73" fillId="0" fontId="81" numFmtId="0" xfId="0" applyAlignment="1" applyBorder="1" applyFont="1">
      <alignment horizontal="center"/>
    </xf>
    <xf borderId="77" fillId="2" fontId="240" numFmtId="0" xfId="0" applyAlignment="1" applyBorder="1" applyFont="1">
      <alignment horizontal="left" readingOrder="0"/>
    </xf>
    <xf borderId="77" fillId="2" fontId="240" numFmtId="0" xfId="0" applyAlignment="1" applyBorder="1" applyFont="1">
      <alignment horizontal="left" readingOrder="0" vertical="center"/>
    </xf>
    <xf borderId="28" fillId="2" fontId="240" numFmtId="0" xfId="0" applyAlignment="1" applyBorder="1" applyFont="1">
      <alignment horizontal="left" readingOrder="0"/>
    </xf>
    <xf borderId="0" fillId="2" fontId="240" numFmtId="0" xfId="0" applyAlignment="1" applyFont="1">
      <alignment horizontal="left" readingOrder="0"/>
    </xf>
    <xf borderId="42" fillId="45" fontId="10" numFmtId="0" xfId="0" applyAlignment="1" applyBorder="1" applyFill="1" applyFont="1">
      <alignment horizontal="center" readingOrder="0" vertical="center"/>
    </xf>
    <xf borderId="42" fillId="46" fontId="241" numFmtId="0" xfId="0" applyAlignment="1" applyBorder="1" applyFill="1" applyFont="1">
      <alignment horizontal="center" readingOrder="0" vertical="center"/>
    </xf>
    <xf borderId="18" fillId="8" fontId="29" numFmtId="0" xfId="0" applyAlignment="1" applyBorder="1" applyFont="1">
      <alignment horizontal="center" readingOrder="0" vertical="center"/>
    </xf>
    <xf borderId="42" fillId="29" fontId="10" numFmtId="0" xfId="0" applyAlignment="1" applyBorder="1" applyFont="1">
      <alignment horizontal="center" readingOrder="0" vertical="center"/>
    </xf>
    <xf borderId="78" fillId="37" fontId="65" numFmtId="0" xfId="0" applyAlignment="1" applyBorder="1" applyFont="1">
      <alignment horizontal="center" readingOrder="0" vertical="center"/>
    </xf>
    <xf borderId="79" fillId="37" fontId="65" numFmtId="0" xfId="0" applyAlignment="1" applyBorder="1" applyFont="1">
      <alignment horizontal="center" readingOrder="0" vertical="center"/>
    </xf>
    <xf borderId="13" fillId="8" fontId="65" numFmtId="0" xfId="0" applyAlignment="1" applyBorder="1" applyFont="1">
      <alignment horizontal="center" vertical="center"/>
    </xf>
    <xf borderId="42" fillId="16" fontId="242" numFmtId="0" xfId="0" applyAlignment="1" applyBorder="1" applyFont="1">
      <alignment horizontal="center" readingOrder="0" vertical="center"/>
    </xf>
    <xf borderId="80" fillId="16" fontId="242" numFmtId="0" xfId="0" applyAlignment="1" applyBorder="1" applyFont="1">
      <alignment horizontal="center" readingOrder="0" vertical="center"/>
    </xf>
    <xf borderId="42" fillId="37" fontId="65" numFmtId="0" xfId="0" applyAlignment="1" applyBorder="1" applyFont="1">
      <alignment horizontal="center" readingOrder="0" vertical="center"/>
    </xf>
    <xf borderId="42" fillId="8" fontId="29" numFmtId="0" xfId="0" applyAlignment="1" applyBorder="1" applyFont="1">
      <alignment horizontal="center" readingOrder="0" vertical="center"/>
    </xf>
    <xf borderId="42" fillId="38" fontId="97" numFmtId="0" xfId="0" applyAlignment="1" applyBorder="1" applyFont="1">
      <alignment horizontal="center" readingOrder="0"/>
    </xf>
    <xf borderId="42" fillId="34" fontId="65" numFmtId="0" xfId="0" applyAlignment="1" applyBorder="1" applyFont="1">
      <alignment horizontal="center" readingOrder="0" vertical="center"/>
    </xf>
    <xf borderId="79" fillId="34" fontId="65" numFmtId="0" xfId="0" applyAlignment="1" applyBorder="1" applyFont="1">
      <alignment horizontal="center" readingOrder="0" vertical="center"/>
    </xf>
    <xf borderId="42" fillId="7" fontId="89" numFmtId="0" xfId="0" applyAlignment="1" applyBorder="1" applyFont="1">
      <alignment horizontal="center" readingOrder="0" vertical="center"/>
    </xf>
    <xf borderId="42" fillId="42" fontId="122" numFmtId="0" xfId="0" applyAlignment="1" applyBorder="1" applyFont="1">
      <alignment horizontal="center" readingOrder="0" vertical="center"/>
    </xf>
    <xf borderId="42" fillId="9" fontId="65" numFmtId="0" xfId="0" applyAlignment="1" applyBorder="1" applyFont="1">
      <alignment horizontal="center" readingOrder="0" vertical="center"/>
    </xf>
    <xf borderId="42" fillId="5" fontId="10" numFmtId="0" xfId="0" applyAlignment="1" applyBorder="1" applyFont="1">
      <alignment horizontal="center" readingOrder="0" vertical="center"/>
    </xf>
    <xf borderId="42" fillId="6" fontId="14" numFmtId="0" xfId="0" applyAlignment="1" applyBorder="1" applyFont="1">
      <alignment horizontal="center" readingOrder="0" vertical="center"/>
    </xf>
    <xf borderId="0" fillId="45" fontId="10" numFmtId="0" xfId="0" applyAlignment="1" applyFont="1">
      <alignment horizontal="center" readingOrder="0" vertical="center"/>
    </xf>
    <xf borderId="0" fillId="46" fontId="241" numFmtId="0" xfId="0" applyAlignment="1" applyFont="1">
      <alignment horizontal="center" readingOrder="0" vertical="center"/>
    </xf>
    <xf borderId="81" fillId="45" fontId="10" numFmtId="0" xfId="0" applyAlignment="1" applyBorder="1" applyFont="1">
      <alignment horizontal="center" readingOrder="0" vertical="center"/>
    </xf>
    <xf borderId="82" fillId="29" fontId="10" numFmtId="0" xfId="0" applyAlignment="1" applyBorder="1" applyFont="1">
      <alignment horizontal="center" readingOrder="0" vertical="center"/>
    </xf>
    <xf borderId="81" fillId="0" fontId="3" numFmtId="0" xfId="0" applyBorder="1" applyFont="1"/>
    <xf borderId="0" fillId="29" fontId="10" numFmtId="0" xfId="0" applyAlignment="1" applyFont="1">
      <alignment horizontal="center" readingOrder="0" vertical="center"/>
    </xf>
    <xf borderId="0" fillId="37" fontId="65" numFmtId="0" xfId="0" applyAlignment="1" applyFont="1">
      <alignment horizontal="center" readingOrder="0" vertical="center"/>
    </xf>
    <xf borderId="0" fillId="16" fontId="242" numFmtId="0" xfId="0" applyAlignment="1" applyFont="1">
      <alignment horizontal="center" readingOrder="0" vertical="center"/>
    </xf>
    <xf borderId="83" fillId="16" fontId="242" numFmtId="0" xfId="0" applyAlignment="1" applyBorder="1" applyFont="1">
      <alignment horizontal="center" readingOrder="0" vertical="center"/>
    </xf>
    <xf borderId="53" fillId="37" fontId="65" numFmtId="0" xfId="0" applyAlignment="1" applyBorder="1" applyFont="1">
      <alignment horizontal="center" readingOrder="0" vertical="center"/>
    </xf>
    <xf borderId="73" fillId="38" fontId="97" numFmtId="0" xfId="0" applyAlignment="1" applyBorder="1" applyFont="1">
      <alignment horizontal="center" readingOrder="0"/>
    </xf>
    <xf borderId="0" fillId="34" fontId="65" numFmtId="0" xfId="0" applyAlignment="1" applyFont="1">
      <alignment horizontal="center" readingOrder="0" vertical="center"/>
    </xf>
    <xf borderId="53" fillId="34" fontId="65" numFmtId="0" xfId="0" applyAlignment="1" applyBorder="1" applyFont="1">
      <alignment horizontal="center" readingOrder="0" vertical="center"/>
    </xf>
    <xf borderId="32" fillId="8" fontId="65" numFmtId="0" xfId="0" applyAlignment="1" applyBorder="1" applyFont="1">
      <alignment horizontal="center" vertical="center"/>
    </xf>
    <xf borderId="0" fillId="42" fontId="122" numFmtId="0" xfId="0" applyAlignment="1" applyFont="1">
      <alignment horizontal="center" readingOrder="0" vertical="center"/>
    </xf>
    <xf borderId="0" fillId="9" fontId="65" numFmtId="0" xfId="0" applyAlignment="1" applyFont="1">
      <alignment horizontal="center" readingOrder="0" vertical="center"/>
    </xf>
    <xf borderId="32" fillId="8" fontId="81" numFmtId="0" xfId="0" applyAlignment="1" applyBorder="1" applyFont="1">
      <alignment horizontal="center" readingOrder="0" vertical="center"/>
    </xf>
    <xf borderId="82" fillId="5" fontId="29" numFmtId="0" xfId="0" applyAlignment="1" applyBorder="1" applyFont="1">
      <alignment horizontal="left" readingOrder="0" vertical="center"/>
    </xf>
    <xf borderId="0" fillId="6" fontId="14" numFmtId="0" xfId="0" applyAlignment="1" applyFont="1">
      <alignment horizontal="center" readingOrder="0" vertical="center"/>
    </xf>
    <xf borderId="84" fillId="2" fontId="240" numFmtId="0" xfId="0" applyAlignment="1" applyBorder="1" applyFont="1">
      <alignment horizontal="left" readingOrder="0"/>
    </xf>
    <xf borderId="85" fillId="2" fontId="240" numFmtId="0" xfId="0" applyAlignment="1" applyBorder="1" applyFont="1">
      <alignment horizontal="left" readingOrder="0"/>
    </xf>
    <xf borderId="16" fillId="2" fontId="240" numFmtId="0" xfId="0" applyAlignment="1" applyBorder="1" applyFont="1">
      <alignment horizontal="left" readingOrder="0"/>
    </xf>
    <xf borderId="85" fillId="0" fontId="3" numFmtId="0" xfId="0" applyBorder="1" applyFont="1"/>
    <xf borderId="0" fillId="8" fontId="4" numFmtId="0" xfId="0" applyAlignment="1" applyFont="1">
      <alignment horizontal="center" readingOrder="0" vertical="center"/>
    </xf>
    <xf borderId="0" fillId="8" fontId="29" numFmtId="0" xfId="0" applyAlignment="1" applyFont="1">
      <alignment horizontal="left" readingOrder="0" vertical="center"/>
    </xf>
    <xf borderId="0" fillId="45" fontId="29" numFmtId="0" xfId="0" applyAlignment="1" applyFont="1">
      <alignment horizontal="center" readingOrder="0" vertical="center"/>
    </xf>
    <xf borderId="0" fillId="46" fontId="243" numFmtId="0" xfId="0" applyAlignment="1" applyFont="1">
      <alignment horizontal="center" readingOrder="0" vertical="center"/>
    </xf>
    <xf borderId="81" fillId="45" fontId="29" numFmtId="0" xfId="0" applyAlignment="1" applyBorder="1" applyFont="1">
      <alignment horizontal="center" readingOrder="0" vertical="center"/>
    </xf>
    <xf borderId="0" fillId="29" fontId="29" numFmtId="0" xfId="0" applyAlignment="1" applyFont="1">
      <alignment horizontal="center" readingOrder="0" vertical="center"/>
    </xf>
    <xf borderId="82" fillId="29" fontId="29" numFmtId="0" xfId="0" applyAlignment="1" applyBorder="1" applyFont="1">
      <alignment horizontal="center" readingOrder="0" vertical="center"/>
    </xf>
    <xf borderId="0" fillId="37" fontId="64" numFmtId="0" xfId="0" applyAlignment="1" applyFont="1">
      <alignment horizontal="center" readingOrder="0" vertical="center"/>
    </xf>
    <xf borderId="0" fillId="16" fontId="244" numFmtId="0" xfId="0" applyAlignment="1" applyFont="1">
      <alignment horizontal="center" readingOrder="0" vertical="center"/>
    </xf>
    <xf borderId="86" fillId="0" fontId="3" numFmtId="0" xfId="0" applyBorder="1" applyFont="1"/>
    <xf borderId="83" fillId="16" fontId="244" numFmtId="0" xfId="0" applyAlignment="1" applyBorder="1" applyFont="1">
      <alignment horizontal="center" readingOrder="0" vertical="center"/>
    </xf>
    <xf borderId="53" fillId="37" fontId="64" numFmtId="0" xfId="0" applyAlignment="1" applyBorder="1" applyFont="1">
      <alignment horizontal="center" readingOrder="0" vertical="center"/>
    </xf>
    <xf borderId="42" fillId="38" fontId="29" numFmtId="0" xfId="0" applyAlignment="1" applyBorder="1" applyFont="1">
      <alignment horizontal="center" vertical="center"/>
    </xf>
    <xf borderId="0" fillId="34" fontId="64" numFmtId="0" xfId="0" applyAlignment="1" applyFont="1">
      <alignment horizontal="center" readingOrder="0" vertical="center"/>
    </xf>
    <xf borderId="53" fillId="34" fontId="64" numFmtId="0" xfId="0" applyAlignment="1" applyBorder="1" applyFont="1">
      <alignment horizontal="center" readingOrder="0" vertical="center"/>
    </xf>
    <xf borderId="0" fillId="7" fontId="22" numFmtId="0" xfId="0" applyAlignment="1" applyFont="1">
      <alignment horizontal="center" readingOrder="0" vertical="center"/>
    </xf>
    <xf borderId="0" fillId="42" fontId="245" numFmtId="0" xfId="0" applyAlignment="1" applyFont="1">
      <alignment horizontal="center" readingOrder="0" vertical="center"/>
    </xf>
    <xf borderId="0" fillId="9" fontId="18" numFmtId="0" xfId="0" applyAlignment="1" applyFont="1">
      <alignment horizontal="center" readingOrder="0" vertical="center"/>
    </xf>
    <xf borderId="0" fillId="5" fontId="29" numFmtId="0" xfId="0" applyAlignment="1" applyFont="1">
      <alignment horizontal="center" readingOrder="0" vertical="center"/>
    </xf>
    <xf borderId="0" fillId="38" fontId="29" numFmtId="0" xfId="0" applyAlignment="1" applyFont="1">
      <alignment horizontal="center" vertical="center"/>
    </xf>
    <xf borderId="0" fillId="37" fontId="18" numFmtId="0" xfId="0" applyAlignment="1" applyFont="1">
      <alignment horizontal="center" readingOrder="0" vertical="center"/>
    </xf>
    <xf borderId="0" fillId="47" fontId="29" numFmtId="0" xfId="0" applyAlignment="1" applyFill="1" applyFont="1">
      <alignment horizontal="center" readingOrder="0" vertical="center"/>
    </xf>
    <xf borderId="0" fillId="48" fontId="29" numFmtId="0" xfId="0" applyAlignment="1" applyFill="1" applyFont="1">
      <alignment horizontal="center" readingOrder="0" vertical="center"/>
    </xf>
    <xf borderId="0" fillId="49" fontId="29" numFmtId="0" xfId="0" applyAlignment="1" applyFill="1" applyFont="1">
      <alignment horizontal="center" readingOrder="0" vertical="center"/>
    </xf>
    <xf borderId="0" fillId="36" fontId="246" numFmtId="0" xfId="0" applyAlignment="1" applyFont="1">
      <alignment horizontal="center" readingOrder="0" vertical="center"/>
    </xf>
    <xf borderId="0" fillId="4" fontId="247" numFmtId="0" xfId="0" applyAlignment="1" applyFont="1">
      <alignment horizontal="center" readingOrder="0" vertical="center"/>
    </xf>
    <xf borderId="0" fillId="50" fontId="29" numFmtId="0" xfId="0" applyAlignment="1" applyFill="1" applyFont="1">
      <alignment horizontal="center" readingOrder="0" vertical="center"/>
    </xf>
    <xf borderId="0" fillId="51" fontId="29" numFmtId="0" xfId="0" applyAlignment="1" applyFill="1" applyFont="1">
      <alignment horizontal="center" vertical="center"/>
    </xf>
    <xf borderId="0" fillId="38" fontId="18" numFmtId="0" xfId="0" applyAlignment="1" applyFont="1">
      <alignment horizontal="center" readingOrder="0" vertical="center"/>
    </xf>
    <xf borderId="0" fillId="11" fontId="29" numFmtId="0" xfId="0" applyAlignment="1" applyFont="1">
      <alignment horizontal="center" readingOrder="0" vertical="center"/>
    </xf>
    <xf borderId="82" fillId="11" fontId="29" numFmtId="0" xfId="0" applyAlignment="1" applyBorder="1" applyFont="1">
      <alignment horizontal="center" readingOrder="0" vertical="center"/>
    </xf>
    <xf borderId="0" fillId="10" fontId="24" numFmtId="0" xfId="0" applyAlignment="1" applyFont="1">
      <alignment horizontal="center" readingOrder="0" vertical="center"/>
    </xf>
    <xf borderId="87" fillId="10" fontId="24" numFmtId="0" xfId="0" applyAlignment="1" applyBorder="1" applyFont="1">
      <alignment horizontal="center" readingOrder="0" vertical="center"/>
    </xf>
    <xf borderId="0" fillId="9" fontId="64" numFmtId="0" xfId="0" applyAlignment="1" applyFont="1">
      <alignment horizontal="center" readingOrder="0" vertical="center"/>
    </xf>
    <xf borderId="53" fillId="9" fontId="64" numFmtId="0" xfId="0" applyAlignment="1" applyBorder="1" applyFont="1">
      <alignment horizontal="center" readingOrder="0" vertical="center"/>
    </xf>
    <xf borderId="0" fillId="6" fontId="24" numFmtId="0" xfId="0" applyAlignment="1" applyFont="1">
      <alignment horizontal="center" readingOrder="0" vertical="center"/>
    </xf>
    <xf borderId="82" fillId="49" fontId="29" numFmtId="0" xfId="0" applyAlignment="1" applyBorder="1" applyFont="1">
      <alignment horizontal="center" readingOrder="0" vertical="center"/>
    </xf>
    <xf borderId="0" fillId="50" fontId="29" numFmtId="0" xfId="0" applyAlignment="1" applyFont="1">
      <alignment horizontal="center" vertical="center"/>
    </xf>
    <xf borderId="0" fillId="52" fontId="29" numFmtId="0" xfId="0" applyAlignment="1" applyFill="1" applyFont="1">
      <alignment horizontal="center" readingOrder="0" vertical="center"/>
    </xf>
    <xf borderId="0" fillId="7" fontId="22" numFmtId="0" xfId="0" applyAlignment="1" applyFont="1">
      <alignment horizontal="center" vertical="center"/>
    </xf>
    <xf borderId="88" fillId="0" fontId="3" numFmtId="0" xfId="0" applyBorder="1" applyFont="1"/>
    <xf borderId="89" fillId="7" fontId="22" numFmtId="0" xfId="0" applyAlignment="1" applyBorder="1" applyFont="1">
      <alignment horizontal="center" readingOrder="0" vertical="center"/>
    </xf>
    <xf borderId="81" fillId="51" fontId="29" numFmtId="0" xfId="0" applyAlignment="1" applyBorder="1" applyFont="1">
      <alignment horizontal="center" readingOrder="0" vertical="center"/>
    </xf>
    <xf borderId="82" fillId="51" fontId="29" numFmtId="0" xfId="0" applyAlignment="1" applyBorder="1" applyFont="1">
      <alignment horizontal="center" readingOrder="0" vertical="center"/>
    </xf>
    <xf borderId="0" fillId="40" fontId="29" numFmtId="0" xfId="0" applyAlignment="1" applyFont="1">
      <alignment horizontal="center" readingOrder="0" vertical="center"/>
    </xf>
    <xf borderId="20" fillId="8" fontId="65" numFmtId="0" xfId="0" applyAlignment="1" applyBorder="1" applyFont="1">
      <alignment horizontal="center" vertical="center"/>
    </xf>
    <xf borderId="20" fillId="8" fontId="81" numFmtId="0" xfId="0" applyAlignment="1" applyBorder="1" applyFont="1">
      <alignment horizontal="center" readingOrder="0" vertical="center"/>
    </xf>
    <xf borderId="0" fillId="12" fontId="29" numFmtId="0" xfId="0" applyAlignment="1" applyFont="1">
      <alignment horizontal="center" readingOrder="0" vertical="center"/>
    </xf>
    <xf borderId="0" fillId="6" fontId="29" numFmtId="0" xfId="0" applyAlignment="1" applyFont="1">
      <alignment horizontal="center" readingOrder="0" vertical="center"/>
    </xf>
    <xf borderId="73" fillId="11" fontId="1" numFmtId="0" xfId="0" applyAlignment="1" applyBorder="1" applyFont="1">
      <alignment horizontal="center" vertical="center"/>
    </xf>
    <xf borderId="60" fillId="11" fontId="18" numFmtId="0" xfId="0" applyAlignment="1" applyBorder="1" applyFont="1">
      <alignment horizontal="center" vertical="center"/>
    </xf>
    <xf borderId="0" fillId="35" fontId="18" numFmtId="0" xfId="0" applyAlignment="1" applyFont="1">
      <alignment horizontal="center" readingOrder="0" vertical="center"/>
    </xf>
    <xf borderId="90" fillId="2" fontId="240" numFmtId="0" xfId="0" applyAlignment="1" applyBorder="1" applyFont="1">
      <alignment horizontal="left" readingOrder="0"/>
    </xf>
    <xf borderId="0" fillId="48" fontId="248" numFmtId="0" xfId="0" applyAlignment="1" applyFont="1">
      <alignment horizontal="center" readingOrder="0" vertical="center"/>
    </xf>
    <xf borderId="82" fillId="20" fontId="29" numFmtId="0" xfId="0" applyAlignment="1" applyBorder="1" applyFont="1">
      <alignment horizontal="center" readingOrder="0" vertical="center"/>
    </xf>
    <xf borderId="91" fillId="20" fontId="29" numFmtId="0" xfId="0" applyAlignment="1" applyBorder="1" applyFont="1">
      <alignment horizontal="center" readingOrder="0" vertical="center"/>
    </xf>
    <xf borderId="42" fillId="20" fontId="29" numFmtId="0" xfId="0" applyAlignment="1" applyBorder="1" applyFont="1">
      <alignment horizontal="center" readingOrder="0" vertical="center"/>
    </xf>
    <xf borderId="92" fillId="20" fontId="29" numFmtId="0" xfId="0" applyAlignment="1" applyBorder="1" applyFont="1">
      <alignment horizontal="center" readingOrder="0" vertical="center"/>
    </xf>
    <xf borderId="93" fillId="0" fontId="3" numFmtId="0" xfId="0" applyBorder="1" applyFont="1"/>
    <xf borderId="0" fillId="22" fontId="249" numFmtId="0" xfId="0" applyAlignment="1" applyFont="1">
      <alignment horizontal="center" readingOrder="0" vertical="center"/>
    </xf>
    <xf borderId="0" fillId="20" fontId="248" numFmtId="0" xfId="0" applyAlignment="1" applyFont="1">
      <alignment horizontal="center" readingOrder="0" vertical="center"/>
    </xf>
    <xf borderId="0" fillId="23" fontId="29" numFmtId="0" xfId="0" applyAlignment="1" applyFont="1">
      <alignment horizontal="center" readingOrder="0" vertical="center"/>
    </xf>
    <xf borderId="42" fillId="8" fontId="81" numFmtId="0" xfId="0" applyAlignment="1" applyBorder="1" applyFont="1">
      <alignment horizontal="center" readingOrder="0" vertical="center"/>
    </xf>
    <xf borderId="30" fillId="29" fontId="29" numFmtId="0" xfId="0" applyAlignment="1" applyBorder="1" applyFont="1">
      <alignment horizontal="center" vertical="center"/>
    </xf>
    <xf borderId="94" fillId="0" fontId="3" numFmtId="0" xfId="0" applyBorder="1" applyFont="1"/>
    <xf borderId="0" fillId="34" fontId="18" numFmtId="0" xfId="0" applyAlignment="1" applyFont="1">
      <alignment horizontal="center" readingOrder="0" vertical="center"/>
    </xf>
    <xf borderId="0" fillId="51" fontId="29" numFmtId="0" xfId="0" applyAlignment="1" applyFont="1">
      <alignment horizontal="center" readingOrder="0" vertical="center"/>
    </xf>
    <xf borderId="0" fillId="0" fontId="64" numFmtId="0" xfId="0" applyAlignment="1" applyFont="1">
      <alignment horizontal="center" readingOrder="0" vertical="center"/>
    </xf>
    <xf borderId="0" fillId="20" fontId="56" numFmtId="0" xfId="0" applyAlignment="1" applyFont="1">
      <alignment horizontal="center" readingOrder="0" vertical="center"/>
    </xf>
    <xf borderId="0" fillId="53" fontId="29" numFmtId="0" xfId="0" applyAlignment="1" applyFill="1" applyFont="1">
      <alignment horizontal="center" readingOrder="0" shrinkToFit="0" vertical="center" wrapText="1"/>
    </xf>
    <xf borderId="0" fillId="6" fontId="56" numFmtId="0" xfId="0" applyAlignment="1" applyFont="1">
      <alignment horizontal="center" readingOrder="0" shrinkToFit="0" vertical="center" wrapText="1"/>
    </xf>
    <xf borderId="82" fillId="45" fontId="29" numFmtId="0" xfId="0" applyAlignment="1" applyBorder="1" applyFont="1">
      <alignment horizontal="center" readingOrder="0" vertical="center"/>
    </xf>
    <xf borderId="0" fillId="7" fontId="29" numFmtId="0" xfId="0" applyAlignment="1" applyFont="1">
      <alignment horizontal="center" readingOrder="0" vertical="center"/>
    </xf>
    <xf borderId="82" fillId="50" fontId="29" numFmtId="0" xfId="0" applyAlignment="1" applyBorder="1" applyFont="1">
      <alignment horizontal="center" readingOrder="0" vertical="center"/>
    </xf>
    <xf borderId="0" fillId="0" fontId="247" numFmtId="0" xfId="0" applyAlignment="1" applyFont="1">
      <alignment horizontal="center" readingOrder="0" vertical="center"/>
    </xf>
    <xf borderId="31" fillId="8" fontId="81" numFmtId="0" xfId="0" applyAlignment="1" applyBorder="1" applyFont="1">
      <alignment horizontal="center" readingOrder="0" vertical="center"/>
    </xf>
    <xf borderId="0" fillId="37" fontId="18" numFmtId="0" xfId="0" applyAlignment="1" applyFont="1">
      <alignment horizontal="center" vertical="center"/>
    </xf>
    <xf borderId="0" fillId="13" fontId="29" numFmtId="0" xfId="0" applyAlignment="1" applyFont="1">
      <alignment horizontal="center" readingOrder="0" vertical="center"/>
    </xf>
    <xf borderId="95" fillId="0" fontId="3" numFmtId="0" xfId="0" applyBorder="1" applyFont="1"/>
    <xf borderId="96" fillId="46" fontId="243" numFmtId="0" xfId="0" applyAlignment="1" applyBorder="1" applyFont="1">
      <alignment horizontal="center" readingOrder="0" vertical="center"/>
    </xf>
    <xf borderId="81" fillId="50" fontId="29" numFmtId="0" xfId="0" applyAlignment="1" applyBorder="1" applyFont="1">
      <alignment horizontal="center" readingOrder="0" vertical="center"/>
    </xf>
    <xf borderId="0" fillId="54" fontId="244" numFmtId="0" xfId="0" applyAlignment="1" applyFill="1" applyFont="1">
      <alignment horizontal="center" readingOrder="0" vertical="center"/>
    </xf>
    <xf borderId="0" fillId="29" fontId="29" numFmtId="0" xfId="0" applyAlignment="1" applyFont="1">
      <alignment horizontal="center" vertical="center"/>
    </xf>
    <xf borderId="0" fillId="55" fontId="29" numFmtId="0" xfId="0" applyAlignment="1" applyFill="1" applyFont="1">
      <alignment horizontal="center" readingOrder="0" vertical="center"/>
    </xf>
    <xf borderId="0" fillId="23" fontId="18" numFmtId="0" xfId="0" applyAlignment="1" applyFont="1">
      <alignment horizontal="center" readingOrder="0" vertical="center"/>
    </xf>
    <xf borderId="73" fillId="8" fontId="29" numFmtId="0" xfId="0" applyAlignment="1" applyBorder="1" applyFont="1">
      <alignment horizontal="left" readingOrder="0" vertical="center"/>
    </xf>
    <xf borderId="73" fillId="6" fontId="14" numFmtId="0" xfId="0" applyAlignment="1" applyBorder="1" applyFont="1">
      <alignment horizontal="center" readingOrder="0" vertical="center"/>
    </xf>
    <xf borderId="73" fillId="7" fontId="29" numFmtId="0" xfId="0" applyAlignment="1" applyBorder="1" applyFont="1">
      <alignment horizontal="center" readingOrder="0" vertical="center"/>
    </xf>
    <xf borderId="73" fillId="7" fontId="22" numFmtId="0" xfId="0" applyAlignment="1" applyBorder="1" applyFont="1">
      <alignment horizontal="center" vertical="center"/>
    </xf>
    <xf borderId="9" fillId="2" fontId="240" numFmtId="0" xfId="0" applyAlignment="1" applyBorder="1" applyFont="1">
      <alignment horizontal="left" readingOrder="0"/>
    </xf>
    <xf borderId="11" fillId="2" fontId="240" numFmtId="0" xfId="0" applyAlignment="1" applyBorder="1" applyFont="1">
      <alignment horizontal="left" readingOrder="0"/>
    </xf>
    <xf borderId="50" fillId="8" fontId="4" numFmtId="0" xfId="0" applyAlignment="1" applyBorder="1" applyFont="1">
      <alignment horizontal="center" readingOrder="0" vertical="center"/>
    </xf>
    <xf borderId="63" fillId="7" fontId="250" numFmtId="0" xfId="0" applyAlignment="1" applyBorder="1" applyFont="1">
      <alignment horizontal="center" vertical="center"/>
    </xf>
    <xf borderId="42" fillId="6" fontId="239" numFmtId="0" xfId="0" applyAlignment="1" applyBorder="1" applyFont="1">
      <alignment horizontal="left" readingOrder="0" vertical="center"/>
    </xf>
    <xf borderId="50" fillId="0" fontId="3" numFmtId="0" xfId="0" applyBorder="1" applyFont="1"/>
    <xf borderId="69" fillId="9" fontId="19" numFmtId="0" xfId="0" applyAlignment="1" applyBorder="1" applyFont="1">
      <alignment horizontal="center" readingOrder="0" vertical="center"/>
    </xf>
    <xf borderId="0" fillId="6" fontId="251" numFmtId="0" xfId="0" applyAlignment="1" applyFont="1">
      <alignment horizontal="right" readingOrder="0" vertical="center"/>
    </xf>
    <xf borderId="69" fillId="10" fontId="252" numFmtId="0" xfId="0" applyAlignment="1" applyBorder="1" applyFont="1">
      <alignment horizontal="center" readingOrder="0" vertical="center"/>
    </xf>
    <xf borderId="76" fillId="5" fontId="26" numFmtId="0" xfId="0" applyAlignment="1" applyBorder="1" applyFont="1">
      <alignment horizontal="center" readingOrder="0" vertical="center"/>
    </xf>
    <xf borderId="97" fillId="12" fontId="26" numFmtId="0" xfId="0" applyAlignment="1" applyBorder="1" applyFont="1">
      <alignment horizontal="center" readingOrder="0" vertical="center"/>
    </xf>
    <xf borderId="71" fillId="0" fontId="3" numFmtId="0" xfId="0" applyBorder="1" applyFont="1"/>
    <xf borderId="97" fillId="13" fontId="26" numFmtId="0" xfId="0" applyAlignment="1" applyBorder="1" applyFont="1">
      <alignment horizontal="center" readingOrder="0" vertical="center"/>
    </xf>
    <xf borderId="50" fillId="8" fontId="253" numFmtId="0" xfId="0" applyAlignment="1" applyBorder="1" applyFont="1">
      <alignment horizontal="center" readingOrder="0" vertical="center"/>
    </xf>
    <xf borderId="47" fillId="15" fontId="254" numFmtId="0" xfId="0" applyAlignment="1" applyBorder="1" applyFont="1">
      <alignment horizontal="center" readingOrder="0" vertical="center"/>
    </xf>
    <xf borderId="42" fillId="6" fontId="64" numFmtId="0" xfId="0" applyAlignment="1" applyBorder="1" applyFont="1">
      <alignment horizontal="left" readingOrder="0" vertical="center"/>
    </xf>
    <xf borderId="0" fillId="6" fontId="183" numFmtId="0" xfId="0" applyFont="1"/>
    <xf borderId="0" fillId="6" fontId="243" numFmtId="0" xfId="0" applyAlignment="1" applyFont="1">
      <alignment horizontal="center" readingOrder="0" vertical="center"/>
    </xf>
    <xf borderId="0" fillId="15" fontId="243" numFmtId="0" xfId="0" applyAlignment="1" applyFont="1">
      <alignment horizontal="center" readingOrder="0" vertical="center"/>
    </xf>
    <xf borderId="44" fillId="20" fontId="64" numFmtId="0" xfId="0" applyAlignment="1" applyBorder="1" applyFont="1">
      <alignment horizontal="center" readingOrder="0" vertical="center"/>
    </xf>
    <xf borderId="0" fillId="20" fontId="64" numFmtId="0" xfId="0" applyAlignment="1" applyFont="1">
      <alignment horizontal="center" readingOrder="0" vertical="center"/>
    </xf>
    <xf borderId="0" fillId="6" fontId="251" numFmtId="0" xfId="0" applyAlignment="1" applyFont="1">
      <alignment horizontal="left" readingOrder="0" vertical="center"/>
    </xf>
    <xf borderId="55" fillId="47" fontId="29" numFmtId="0" xfId="0" applyAlignment="1" applyBorder="1" applyFont="1">
      <alignment horizontal="center" readingOrder="0" vertical="center"/>
    </xf>
    <xf borderId="82" fillId="47" fontId="29" numFmtId="0" xfId="0" applyAlignment="1" applyBorder="1" applyFont="1">
      <alignment horizontal="center" readingOrder="0" vertical="center"/>
    </xf>
    <xf borderId="55" fillId="36" fontId="246" numFmtId="0" xfId="0" applyAlignment="1" applyBorder="1" applyFont="1">
      <alignment horizontal="center" readingOrder="0" vertical="center"/>
    </xf>
    <xf borderId="82" fillId="0" fontId="3" numFmtId="0" xfId="0" applyBorder="1" applyFont="1"/>
    <xf borderId="0" fillId="6" fontId="64" numFmtId="0" xfId="0" applyAlignment="1" applyFont="1">
      <alignment horizontal="center" vertical="center"/>
    </xf>
    <xf borderId="98" fillId="0" fontId="3" numFmtId="0" xfId="0" applyBorder="1" applyFont="1"/>
    <xf borderId="99" fillId="36" fontId="246" numFmtId="0" xfId="0" applyAlignment="1" applyBorder="1" applyFont="1">
      <alignment horizontal="center" readingOrder="0" vertical="center"/>
    </xf>
    <xf borderId="0" fillId="6" fontId="61" numFmtId="0" xfId="0" applyAlignment="1" applyFont="1">
      <alignment horizontal="center" readingOrder="0" vertical="center"/>
    </xf>
    <xf borderId="55" fillId="50" fontId="29" numFmtId="0" xfId="0" applyAlignment="1" applyBorder="1" applyFont="1">
      <alignment horizontal="center" readingOrder="0" vertical="center"/>
    </xf>
    <xf borderId="55" fillId="48" fontId="29" numFmtId="0" xfId="0" applyAlignment="1" applyBorder="1" applyFont="1">
      <alignment horizontal="center" readingOrder="0" vertical="center"/>
    </xf>
    <xf borderId="55" fillId="11" fontId="29" numFmtId="0" xfId="0" applyAlignment="1" applyBorder="1" applyFont="1">
      <alignment horizontal="center" readingOrder="0" vertical="center"/>
    </xf>
    <xf borderId="55" fillId="46" fontId="243" numFmtId="0" xfId="0" applyAlignment="1" applyBorder="1" applyFont="1">
      <alignment horizontal="center" readingOrder="0" vertical="center"/>
    </xf>
    <xf borderId="55" fillId="49" fontId="29" numFmtId="0" xfId="0" applyAlignment="1" applyBorder="1" applyFont="1">
      <alignment horizontal="center" readingOrder="0" vertical="center"/>
    </xf>
    <xf borderId="91" fillId="49" fontId="29" numFmtId="0" xfId="0" applyAlignment="1" applyBorder="1" applyFont="1">
      <alignment horizontal="center" readingOrder="0" vertical="center"/>
    </xf>
    <xf borderId="55" fillId="36" fontId="255" numFmtId="0" xfId="0" applyAlignment="1" applyBorder="1" applyFont="1">
      <alignment horizontal="center" readingOrder="0" vertical="center"/>
    </xf>
    <xf borderId="0" fillId="36" fontId="256" numFmtId="0" xfId="0" applyAlignment="1" applyFont="1">
      <alignment horizontal="center" readingOrder="0" vertical="center"/>
    </xf>
    <xf borderId="55" fillId="56" fontId="29" numFmtId="0" xfId="0" applyAlignment="1" applyBorder="1" applyFill="1" applyFont="1">
      <alignment horizontal="center" readingOrder="0" vertical="center"/>
    </xf>
    <xf borderId="0" fillId="6" fontId="251" numFmtId="0" xfId="0" applyAlignment="1" applyFont="1">
      <alignment horizontal="center" readingOrder="0" vertical="center"/>
    </xf>
    <xf borderId="0" fillId="56" fontId="29" numFmtId="0" xfId="0" applyAlignment="1" applyFont="1">
      <alignment horizontal="center" readingOrder="0" vertical="center"/>
    </xf>
    <xf borderId="55" fillId="41" fontId="257" numFmtId="0" xfId="0" applyAlignment="1" applyBorder="1" applyFont="1">
      <alignment horizontal="center" readingOrder="0" vertical="center"/>
    </xf>
    <xf borderId="0" fillId="41" fontId="257" numFmtId="0" xfId="0" applyAlignment="1" applyFont="1">
      <alignment horizontal="center" readingOrder="0" vertical="center"/>
    </xf>
    <xf borderId="55" fillId="20" fontId="64" numFmtId="0" xfId="0" applyAlignment="1" applyBorder="1" applyFont="1">
      <alignment horizontal="center" readingOrder="0" vertical="center"/>
    </xf>
    <xf borderId="55" fillId="57" fontId="258" numFmtId="0" xfId="0" applyAlignment="1" applyBorder="1" applyFill="1" applyFont="1">
      <alignment horizontal="center" readingOrder="0" vertical="center"/>
    </xf>
    <xf borderId="0" fillId="57" fontId="258" numFmtId="0" xfId="0" applyAlignment="1" applyFont="1">
      <alignment horizontal="center" readingOrder="0" vertical="center"/>
    </xf>
    <xf borderId="55" fillId="58" fontId="259" numFmtId="0" xfId="0" applyAlignment="1" applyBorder="1" applyFill="1" applyFont="1">
      <alignment horizontal="center" readingOrder="0" vertical="center"/>
    </xf>
    <xf borderId="0" fillId="58" fontId="259" numFmtId="0" xfId="0" applyAlignment="1" applyFont="1">
      <alignment horizontal="center" readingOrder="0" vertical="center"/>
    </xf>
    <xf borderId="55" fillId="50" fontId="245" numFmtId="0" xfId="0" applyAlignment="1" applyBorder="1" applyFont="1">
      <alignment horizontal="center" readingOrder="0" vertical="center"/>
    </xf>
    <xf borderId="0" fillId="50" fontId="245" numFmtId="0" xfId="0" applyAlignment="1" applyFont="1">
      <alignment horizontal="center" readingOrder="0" vertical="center"/>
    </xf>
    <xf borderId="100" fillId="0" fontId="3" numFmtId="0" xfId="0" applyBorder="1" applyFont="1"/>
    <xf borderId="101" fillId="50" fontId="245" numFmtId="0" xfId="0" applyAlignment="1" applyBorder="1" applyFont="1">
      <alignment horizontal="center" readingOrder="0" vertical="center"/>
    </xf>
    <xf borderId="55" fillId="7" fontId="29" numFmtId="0" xfId="0" applyAlignment="1" applyBorder="1" applyFont="1">
      <alignment horizontal="center" readingOrder="0" vertical="center"/>
    </xf>
    <xf borderId="55" fillId="22" fontId="249" numFmtId="0" xfId="0" applyAlignment="1" applyBorder="1" applyFont="1">
      <alignment horizontal="center" readingOrder="0" vertical="center"/>
    </xf>
    <xf borderId="102" fillId="0" fontId="3" numFmtId="0" xfId="0" applyBorder="1" applyFont="1"/>
    <xf borderId="103" fillId="22" fontId="249" numFmtId="0" xfId="0" applyAlignment="1" applyBorder="1" applyFont="1">
      <alignment horizontal="center" readingOrder="0" vertical="center"/>
    </xf>
    <xf borderId="55" fillId="4" fontId="18" numFmtId="0" xfId="0" applyAlignment="1" applyBorder="1" applyFont="1">
      <alignment horizontal="center" readingOrder="0" vertical="center"/>
    </xf>
    <xf borderId="0" fillId="4" fontId="64" numFmtId="0" xfId="0" applyAlignment="1" applyFont="1">
      <alignment horizontal="center" readingOrder="0" vertical="center"/>
    </xf>
    <xf borderId="55" fillId="59" fontId="29" numFmtId="0" xfId="0" applyAlignment="1" applyBorder="1" applyFill="1" applyFont="1">
      <alignment horizontal="center" readingOrder="0" vertical="center"/>
    </xf>
    <xf borderId="0" fillId="59" fontId="29" numFmtId="0" xfId="0" applyAlignment="1" applyFont="1">
      <alignment horizontal="center" readingOrder="0" vertical="center"/>
    </xf>
    <xf borderId="56" fillId="4" fontId="247" numFmtId="0" xfId="0" applyAlignment="1" applyBorder="1" applyFont="1">
      <alignment horizontal="center" vertical="center"/>
    </xf>
    <xf borderId="0" fillId="6" fontId="14" numFmtId="0" xfId="0" applyAlignment="1" applyFont="1">
      <alignment horizontal="center" vertical="center"/>
    </xf>
    <xf borderId="0" fillId="6" fontId="251" numFmtId="0" xfId="0" applyAlignment="1" applyFont="1">
      <alignment horizontal="right" vertical="center"/>
    </xf>
    <xf borderId="0" fillId="4" fontId="247" numFmtId="0" xfId="0" applyAlignment="1" applyFont="1">
      <alignment horizontal="center" vertical="center"/>
    </xf>
    <xf borderId="104" fillId="6" fontId="251" numFmtId="0" xfId="0" applyAlignment="1" applyBorder="1" applyFont="1">
      <alignment shrinkToFit="0" vertical="center" wrapText="0"/>
    </xf>
    <xf borderId="104" fillId="6" fontId="13" numFmtId="0" xfId="0" applyAlignment="1" applyBorder="1" applyFont="1">
      <alignment vertical="center"/>
    </xf>
    <xf borderId="0" fillId="6" fontId="13" numFmtId="0" xfId="0" applyAlignment="1" applyFont="1">
      <alignment vertical="center"/>
    </xf>
    <xf borderId="45" fillId="34" fontId="64" numFmtId="0" xfId="0" applyAlignment="1" applyBorder="1" applyFont="1">
      <alignment horizontal="center" vertical="center"/>
    </xf>
    <xf borderId="0" fillId="34" fontId="64" numFmtId="0" xfId="0" applyAlignment="1" applyFont="1">
      <alignment horizontal="center" vertical="center"/>
    </xf>
    <xf borderId="53" fillId="34" fontId="64" numFmtId="0" xfId="0" applyAlignment="1" applyBorder="1" applyFont="1">
      <alignment horizontal="center" vertical="center"/>
    </xf>
    <xf borderId="0" fillId="6" fontId="251" numFmtId="0" xfId="0" applyAlignment="1" applyFont="1">
      <alignment horizontal="left" vertical="center"/>
    </xf>
    <xf borderId="0" fillId="6" fontId="251" numFmtId="0" xfId="0" applyAlignment="1" applyFont="1">
      <alignment vertical="center"/>
    </xf>
    <xf borderId="0" fillId="6" fontId="251" numFmtId="0" xfId="0" applyAlignment="1" applyFont="1">
      <alignment horizontal="center" vertical="center"/>
    </xf>
    <xf borderId="0" fillId="16" fontId="244" numFmtId="0" xfId="0" applyAlignment="1" applyFont="1">
      <alignment horizontal="center" vertical="center"/>
    </xf>
    <xf borderId="83" fillId="16" fontId="244" numFmtId="0" xfId="0" applyAlignment="1" applyBorder="1" applyFont="1">
      <alignment horizontal="center" vertical="center"/>
    </xf>
    <xf borderId="55" fillId="37" fontId="64" numFmtId="0" xfId="0" applyAlignment="1" applyBorder="1" applyFont="1">
      <alignment horizontal="center" readingOrder="0" vertical="center"/>
    </xf>
    <xf borderId="55" fillId="29" fontId="29" numFmtId="0" xfId="0" applyAlignment="1" applyBorder="1" applyFont="1">
      <alignment horizontal="center" readingOrder="0" vertical="center"/>
    </xf>
    <xf borderId="105" fillId="0" fontId="3" numFmtId="0" xfId="0" applyBorder="1" applyFont="1"/>
    <xf borderId="106" fillId="29" fontId="29" numFmtId="0" xfId="0" applyAlignment="1" applyBorder="1" applyFont="1">
      <alignment horizontal="center" readingOrder="0" vertical="center"/>
    </xf>
    <xf borderId="69" fillId="50" fontId="29" numFmtId="0" xfId="0" applyAlignment="1" applyBorder="1" applyFont="1">
      <alignment horizontal="center" readingOrder="0" vertical="center"/>
    </xf>
    <xf borderId="106" fillId="50" fontId="29" numFmtId="0" xfId="0" applyAlignment="1" applyBorder="1" applyFont="1">
      <alignment horizontal="center" readingOrder="0" vertical="center"/>
    </xf>
    <xf borderId="69" fillId="52" fontId="29" numFmtId="0" xfId="0" applyAlignment="1" applyBorder="1" applyFont="1">
      <alignment horizontal="center" readingOrder="0" vertical="center"/>
    </xf>
    <xf borderId="69" fillId="7" fontId="29" numFmtId="0" xfId="0" applyAlignment="1" applyBorder="1" applyFont="1">
      <alignment horizontal="center" readingOrder="0" vertical="center"/>
    </xf>
    <xf borderId="9" fillId="7" fontId="29" numFmtId="0" xfId="0" applyAlignment="1" applyBorder="1" applyFont="1">
      <alignment horizontal="center" readingOrder="0" vertical="center"/>
    </xf>
    <xf borderId="106" fillId="7" fontId="29" numFmtId="0" xfId="0" applyAlignment="1" applyBorder="1" applyFont="1">
      <alignment horizontal="center" readingOrder="0" vertical="center"/>
    </xf>
    <xf borderId="69" fillId="23" fontId="29" numFmtId="0" xfId="0" applyAlignment="1" applyBorder="1" applyFont="1">
      <alignment horizontal="center" readingOrder="0" vertical="center"/>
    </xf>
    <xf borderId="106" fillId="23" fontId="29" numFmtId="0" xfId="0" applyAlignment="1" applyBorder="1" applyFont="1">
      <alignment horizontal="center" readingOrder="0" vertical="center"/>
    </xf>
    <xf borderId="75" fillId="60" fontId="260" numFmtId="0" xfId="0" applyAlignment="1" applyBorder="1" applyFill="1" applyFont="1">
      <alignment horizontal="center" readingOrder="0" vertical="center"/>
    </xf>
    <xf borderId="0" fillId="60" fontId="260" numFmtId="0" xfId="0" applyAlignment="1" applyFont="1">
      <alignment horizontal="center" readingOrder="0" vertical="center"/>
    </xf>
    <xf borderId="107" fillId="36" fontId="246" numFmtId="0" xfId="0" applyAlignment="1" applyBorder="1" applyFont="1">
      <alignment horizontal="center" readingOrder="0" vertical="center"/>
    </xf>
    <xf borderId="108" fillId="6" fontId="14" numFmtId="0" xfId="0" applyAlignment="1" applyBorder="1" applyFont="1">
      <alignment horizontal="center" readingOrder="0" vertical="center"/>
    </xf>
    <xf borderId="108" fillId="6" fontId="251" numFmtId="0" xfId="0" applyAlignment="1" applyBorder="1" applyFont="1">
      <alignment horizontal="center" readingOrder="0" vertical="center"/>
    </xf>
    <xf borderId="108" fillId="36" fontId="246" numFmtId="0" xfId="0" applyAlignment="1" applyBorder="1" applyFont="1">
      <alignment horizontal="center" readingOrder="0" vertical="center"/>
    </xf>
    <xf borderId="108" fillId="0" fontId="3" numFmtId="0" xfId="0" applyBorder="1" applyFont="1"/>
    <xf borderId="108" fillId="6" fontId="251" numFmtId="0" xfId="0" applyAlignment="1" applyBorder="1" applyFont="1">
      <alignment horizontal="left" readingOrder="0" vertical="center"/>
    </xf>
    <xf borderId="69" fillId="61" fontId="257" numFmtId="0" xfId="0" applyAlignment="1" applyBorder="1" applyFill="1" applyFont="1">
      <alignment horizontal="center" readingOrder="0" vertical="center"/>
    </xf>
    <xf borderId="0" fillId="61" fontId="257" numFmtId="0" xfId="0" applyAlignment="1" applyFont="1">
      <alignment horizontal="center" readingOrder="0" vertical="center"/>
    </xf>
    <xf borderId="69" fillId="62" fontId="18" numFmtId="0" xfId="0" applyAlignment="1" applyBorder="1" applyFill="1" applyFont="1">
      <alignment horizontal="center" readingOrder="0" vertical="center"/>
    </xf>
    <xf borderId="0" fillId="62" fontId="18" numFmtId="0" xfId="0" applyAlignment="1" applyFont="1">
      <alignment horizontal="center" readingOrder="0" vertical="center"/>
    </xf>
    <xf borderId="69" fillId="18" fontId="29" numFmtId="0" xfId="0" applyAlignment="1" applyBorder="1" applyFont="1">
      <alignment horizontal="center" readingOrder="0" vertical="center"/>
    </xf>
    <xf borderId="0" fillId="18" fontId="29" numFmtId="0" xfId="0" applyAlignment="1" applyFont="1">
      <alignment horizontal="center" readingOrder="0" vertical="center"/>
    </xf>
    <xf borderId="69" fillId="49" fontId="29" numFmtId="0" xfId="0" applyAlignment="1" applyBorder="1" applyFont="1">
      <alignment horizontal="center" readingOrder="0" vertical="center"/>
    </xf>
    <xf borderId="63" fillId="11" fontId="18" numFmtId="0" xfId="0" applyAlignment="1" applyBorder="1" applyFont="1">
      <alignment horizontal="center" vertical="center"/>
    </xf>
    <xf borderId="0" fillId="6" fontId="239" numFmtId="0" xfId="0" applyAlignment="1" applyFont="1">
      <alignment horizontal="left" readingOrder="0" vertical="center"/>
    </xf>
    <xf borderId="0" fillId="11" fontId="18" numFmtId="0" xfId="0" applyAlignment="1" applyFont="1">
      <alignment horizontal="center" vertical="center"/>
    </xf>
    <xf borderId="50" fillId="11" fontId="18" numFmtId="0" xfId="0" applyAlignment="1" applyBorder="1" applyFont="1">
      <alignment horizontal="center" vertical="center"/>
    </xf>
    <xf borderId="53" fillId="11" fontId="18" numFmtId="0" xfId="0" applyAlignment="1" applyBorder="1" applyFont="1">
      <alignment horizontal="center" readingOrder="0" vertical="center"/>
    </xf>
    <xf borderId="69" fillId="29" fontId="29" numFmtId="0" xfId="0" applyAlignment="1" applyBorder="1" applyFont="1">
      <alignment horizontal="center" readingOrder="0" vertical="center"/>
    </xf>
    <xf borderId="69" fillId="33" fontId="261" numFmtId="0" xfId="0" applyAlignment="1" applyBorder="1" applyFont="1">
      <alignment horizontal="center" readingOrder="0" vertical="center"/>
    </xf>
    <xf borderId="0" fillId="33" fontId="261" numFmtId="0" xfId="0" applyAlignment="1" applyFont="1">
      <alignment horizontal="center" vertical="center"/>
    </xf>
    <xf borderId="109" fillId="0" fontId="3" numFmtId="0" xfId="0" applyBorder="1" applyFont="1"/>
    <xf borderId="110" fillId="33" fontId="261" numFmtId="0" xfId="0" applyAlignment="1" applyBorder="1" applyFont="1">
      <alignment horizontal="center" vertical="center"/>
    </xf>
    <xf borderId="69" fillId="36" fontId="29" numFmtId="0" xfId="0" applyAlignment="1" applyBorder="1" applyFont="1">
      <alignment horizontal="center" readingOrder="0" vertical="center"/>
    </xf>
    <xf borderId="0" fillId="36" fontId="29" numFmtId="0" xfId="0" applyAlignment="1" applyFont="1">
      <alignment horizontal="center" readingOrder="0" vertical="center"/>
    </xf>
    <xf borderId="69" fillId="35" fontId="18" numFmtId="0" xfId="0" applyAlignment="1" applyBorder="1" applyFont="1">
      <alignment horizontal="center" readingOrder="0" vertical="center"/>
    </xf>
    <xf borderId="53" fillId="37" fontId="18" numFmtId="0" xfId="0" applyAlignment="1" applyBorder="1" applyFont="1">
      <alignment horizontal="center" readingOrder="0" vertical="center"/>
    </xf>
    <xf borderId="57" fillId="63" fontId="18" numFmtId="0" xfId="0" applyAlignment="1" applyBorder="1" applyFill="1" applyFont="1">
      <alignment horizontal="center" readingOrder="0" vertical="center"/>
    </xf>
    <xf borderId="0" fillId="63" fontId="64" numFmtId="0" xfId="0" applyAlignment="1" applyFont="1">
      <alignment horizontal="center" readingOrder="0" vertical="center"/>
    </xf>
    <xf borderId="63" fillId="31" fontId="18" numFmtId="0" xfId="0" applyAlignment="1" applyBorder="1" applyFont="1">
      <alignment horizontal="center" vertical="center"/>
    </xf>
    <xf borderId="0" fillId="31" fontId="18" numFmtId="0" xfId="0" applyAlignment="1" applyFont="1">
      <alignment horizontal="center" vertical="center"/>
    </xf>
    <xf borderId="0" fillId="31" fontId="64" numFmtId="0" xfId="0" applyAlignment="1" applyFont="1">
      <alignment horizontal="center" readingOrder="0" vertical="center"/>
    </xf>
    <xf borderId="53" fillId="31" fontId="64" numFmtId="0" xfId="0" applyAlignment="1" applyBorder="1" applyFont="1">
      <alignment horizontal="center" readingOrder="0" vertical="center"/>
    </xf>
    <xf borderId="63" fillId="36" fontId="29" numFmtId="0" xfId="0" applyAlignment="1" applyBorder="1" applyFont="1">
      <alignment horizontal="center" vertical="center"/>
    </xf>
    <xf borderId="0" fillId="36" fontId="29" numFmtId="0" xfId="0" applyAlignment="1" applyFont="1">
      <alignment horizontal="center" vertical="center"/>
    </xf>
    <xf borderId="63" fillId="64" fontId="29" numFmtId="0" xfId="0" applyAlignment="1" applyBorder="1" applyFill="1" applyFont="1">
      <alignment horizontal="center" vertical="center"/>
    </xf>
    <xf borderId="0" fillId="64" fontId="29" numFmtId="0" xfId="0" applyAlignment="1" applyFont="1">
      <alignment horizontal="center" vertical="center"/>
    </xf>
    <xf borderId="69" fillId="38" fontId="29" numFmtId="0" xfId="0" applyAlignment="1" applyBorder="1" applyFont="1">
      <alignment horizontal="center" vertical="center"/>
    </xf>
    <xf borderId="82" fillId="38" fontId="29" numFmtId="0" xfId="0" applyAlignment="1" applyBorder="1" applyFont="1">
      <alignment horizontal="center" readingOrder="0" vertical="center"/>
    </xf>
    <xf borderId="69" fillId="51" fontId="29" numFmtId="0" xfId="0" applyAlignment="1" applyBorder="1" applyFont="1">
      <alignment horizontal="center" vertical="center"/>
    </xf>
    <xf borderId="57" fillId="37" fontId="18" numFmtId="0" xfId="0" applyAlignment="1" applyBorder="1" applyFont="1">
      <alignment horizontal="center" readingOrder="0" vertical="center"/>
    </xf>
    <xf borderId="69" fillId="39" fontId="29" numFmtId="0" xfId="0" applyAlignment="1" applyBorder="1" applyFont="1">
      <alignment horizontal="center" readingOrder="0" vertical="center"/>
    </xf>
    <xf borderId="0" fillId="39" fontId="29" numFmtId="0" xfId="0" applyAlignment="1" applyFont="1">
      <alignment horizontal="center" readingOrder="0" vertical="center"/>
    </xf>
    <xf borderId="76" fillId="55" fontId="29" numFmtId="0" xfId="0" applyAlignment="1" applyBorder="1" applyFont="1">
      <alignment horizontal="center" readingOrder="0" vertical="center"/>
    </xf>
    <xf borderId="0" fillId="55" fontId="259" numFmtId="0" xfId="0" applyAlignment="1" applyFont="1">
      <alignment horizontal="center" readingOrder="0" vertical="center"/>
    </xf>
    <xf borderId="76" fillId="30" fontId="18" numFmtId="0" xfId="0" applyAlignment="1" applyBorder="1" applyFont="1">
      <alignment horizontal="center" readingOrder="0" vertical="center"/>
    </xf>
    <xf borderId="0" fillId="30" fontId="64" numFmtId="0" xfId="0" applyAlignment="1" applyFont="1">
      <alignment horizontal="center" readingOrder="0" vertical="center"/>
    </xf>
    <xf borderId="74" fillId="14" fontId="207" numFmtId="0" xfId="0" applyAlignment="1" applyBorder="1" applyFont="1">
      <alignment horizontal="center" readingOrder="0" vertical="center"/>
    </xf>
    <xf borderId="0" fillId="6" fontId="18" numFmtId="0" xfId="0" applyAlignment="1" applyFont="1">
      <alignment horizontal="center" readingOrder="0" vertical="center"/>
    </xf>
    <xf borderId="0" fillId="14" fontId="18" numFmtId="0" xfId="0" applyAlignment="1" applyFont="1">
      <alignment horizontal="center" readingOrder="0" vertical="center"/>
    </xf>
    <xf borderId="0" fillId="6" fontId="262" numFmtId="0" xfId="0" applyAlignment="1" applyFont="1">
      <alignment horizontal="left" readingOrder="0" shrinkToFit="0" vertical="center" wrapText="0"/>
    </xf>
    <xf borderId="69" fillId="38" fontId="18" numFmtId="0" xfId="0" applyAlignment="1" applyBorder="1" applyFont="1">
      <alignment horizontal="center" readingOrder="0" vertical="center"/>
    </xf>
    <xf borderId="53" fillId="38" fontId="18" numFmtId="0" xfId="0" applyAlignment="1" applyBorder="1" applyFont="1">
      <alignment horizontal="center" readingOrder="0" vertical="center"/>
    </xf>
    <xf borderId="47" fillId="20" fontId="29" numFmtId="0" xfId="0" applyAlignment="1" applyBorder="1" applyFont="1">
      <alignment horizontal="center" readingOrder="0" vertical="center"/>
    </xf>
    <xf borderId="0" fillId="6" fontId="64" numFmtId="0" xfId="0" applyAlignment="1" applyFont="1">
      <alignment horizontal="left" readingOrder="0" vertical="center"/>
    </xf>
    <xf borderId="69" fillId="23" fontId="243" numFmtId="0" xfId="0" applyAlignment="1" applyBorder="1" applyFont="1">
      <alignment horizontal="center" vertical="center"/>
    </xf>
    <xf borderId="0" fillId="23" fontId="243" numFmtId="0" xfId="0" applyAlignment="1" applyFont="1">
      <alignment horizontal="center" vertical="center"/>
    </xf>
    <xf borderId="96" fillId="23" fontId="243" numFmtId="0" xfId="0" applyAlignment="1" applyBorder="1" applyFont="1">
      <alignment horizontal="center" readingOrder="0" vertical="center"/>
    </xf>
    <xf borderId="56" fillId="41" fontId="257" numFmtId="0" xfId="0" applyAlignment="1" applyBorder="1" applyFont="1">
      <alignment horizontal="center" vertical="center"/>
    </xf>
    <xf borderId="0" fillId="6" fontId="13" numFmtId="0" xfId="0" applyFont="1"/>
    <xf borderId="0" fillId="41" fontId="257" numFmtId="0" xfId="0" applyAlignment="1" applyFont="1">
      <alignment horizontal="center" vertical="center"/>
    </xf>
    <xf borderId="0" fillId="6" fontId="13" numFmtId="0" xfId="0" applyFont="1"/>
    <xf borderId="69" fillId="36" fontId="246" numFmtId="0" xfId="0" applyAlignment="1" applyBorder="1" applyFont="1">
      <alignment horizontal="center" vertical="center"/>
    </xf>
    <xf borderId="0" fillId="36" fontId="246" numFmtId="0" xfId="0" applyAlignment="1" applyFont="1">
      <alignment horizontal="center" vertical="center"/>
    </xf>
    <xf borderId="69" fillId="11" fontId="29" numFmtId="0" xfId="0" applyAlignment="1" applyBorder="1" applyFont="1">
      <alignment horizontal="center" readingOrder="0" vertical="center"/>
    </xf>
    <xf borderId="69" fillId="34" fontId="18" numFmtId="0" xfId="0" applyAlignment="1" applyBorder="1" applyFont="1">
      <alignment horizontal="center" readingOrder="0" vertical="center"/>
    </xf>
    <xf borderId="50" fillId="42" fontId="245" numFmtId="0" xfId="0" applyAlignment="1" applyBorder="1" applyFont="1">
      <alignment horizontal="center" readingOrder="0" vertical="center"/>
    </xf>
    <xf borderId="69" fillId="40" fontId="29" numFmtId="0" xfId="0" applyAlignment="1" applyBorder="1" applyFont="1">
      <alignment horizontal="center" readingOrder="0" vertical="center"/>
    </xf>
    <xf borderId="82" fillId="40" fontId="29" numFmtId="0" xfId="0" applyAlignment="1" applyBorder="1" applyFont="1">
      <alignment horizontal="center" readingOrder="0" vertical="center"/>
    </xf>
    <xf borderId="0" fillId="14" fontId="81" numFmtId="0" xfId="0" applyAlignment="1" applyFont="1">
      <alignment horizontal="center" readingOrder="0"/>
    </xf>
    <xf borderId="0" fillId="6" fontId="251" numFmtId="0" xfId="0" applyAlignment="1" applyFont="1">
      <alignment readingOrder="0"/>
    </xf>
    <xf borderId="63" fillId="0" fontId="3" numFmtId="0" xfId="0" applyBorder="1" applyFont="1"/>
    <xf borderId="75" fillId="23" fontId="19" numFmtId="0" xfId="0" applyAlignment="1" applyBorder="1" applyFont="1">
      <alignment horizontal="center" readingOrder="0" vertical="center"/>
    </xf>
    <xf borderId="13" fillId="8" fontId="26" numFmtId="0" xfId="0" applyAlignment="1" applyBorder="1" applyFont="1">
      <alignment horizontal="center" readingOrder="0" vertical="center"/>
    </xf>
    <xf borderId="0" fillId="8" fontId="29" numFmtId="0" xfId="0" applyAlignment="1" applyFont="1">
      <alignment horizontal="center" readingOrder="0" vertical="center"/>
    </xf>
    <xf borderId="111" fillId="0" fontId="3" numFmtId="0" xfId="0" applyBorder="1" applyFont="1"/>
    <xf borderId="13" fillId="8" fontId="29" numFmtId="0" xfId="0" applyAlignment="1" applyBorder="1" applyFont="1">
      <alignment horizontal="center" readingOrder="0" vertical="center"/>
    </xf>
    <xf borderId="18" fillId="8" fontId="26" numFmtId="0" xfId="0" applyAlignment="1" applyBorder="1" applyFont="1">
      <alignment horizontal="center" readingOrder="0" vertical="center"/>
    </xf>
    <xf borderId="0" fillId="0" fontId="81" numFmtId="164" xfId="0" applyAlignment="1" applyFont="1" applyNumberFormat="1">
      <alignment horizontal="center" readingOrder="0" vertical="center"/>
    </xf>
    <xf borderId="0" fillId="0" fontId="81" numFmtId="164" xfId="0" applyAlignment="1" applyFont="1" applyNumberFormat="1">
      <alignment horizontal="center" readingOrder="0"/>
    </xf>
    <xf borderId="0" fillId="0" fontId="81" numFmtId="165" xfId="0" applyAlignment="1" applyFont="1" applyNumberFormat="1">
      <alignment horizontal="center" readingOrder="0"/>
    </xf>
    <xf borderId="0" fillId="0" fontId="81" numFmtId="165" xfId="0" applyAlignment="1" applyFont="1" applyNumberFormat="1">
      <alignment horizontal="center" readingOrder="0" vertical="center"/>
    </xf>
    <xf borderId="0" fillId="0" fontId="81" numFmtId="166" xfId="0" applyAlignment="1" applyFont="1" applyNumberFormat="1">
      <alignment horizontal="center" readingOrder="0"/>
    </xf>
    <xf borderId="20" fillId="8" fontId="81" numFmtId="164" xfId="0" applyAlignment="1" applyBorder="1" applyFont="1" applyNumberFormat="1">
      <alignment horizontal="center" readingOrder="0"/>
    </xf>
    <xf borderId="26" fillId="8" fontId="97" numFmtId="0" xfId="0" applyAlignment="1" applyBorder="1" applyFont="1">
      <alignment horizontal="center" readingOrder="0" vertical="center"/>
    </xf>
    <xf borderId="0" fillId="28" fontId="263" numFmtId="0" xfId="0" applyAlignment="1" applyFont="1">
      <alignment horizontal="center" readingOrder="0" vertical="center"/>
    </xf>
    <xf borderId="15" fillId="8" fontId="97" numFmtId="0" xfId="0" applyAlignment="1" applyBorder="1" applyFont="1">
      <alignment horizontal="center" readingOrder="0" vertical="center"/>
    </xf>
    <xf borderId="45" fillId="28" fontId="263" numFmtId="0" xfId="0" applyAlignment="1" applyBorder="1" applyFont="1">
      <alignment horizontal="center" readingOrder="0" vertical="center"/>
    </xf>
    <xf borderId="61" fillId="28" fontId="263" numFmtId="0" xfId="0" applyAlignment="1" applyBorder="1" applyFont="1">
      <alignment horizontal="center" readingOrder="0" vertical="center"/>
    </xf>
    <xf borderId="45" fillId="8" fontId="97" numFmtId="0" xfId="0" applyAlignment="1" applyBorder="1" applyFont="1">
      <alignment horizontal="center" readingOrder="0" vertical="center"/>
    </xf>
    <xf borderId="50" fillId="38" fontId="10" numFmtId="0" xfId="0" applyAlignment="1" applyBorder="1" applyFont="1">
      <alignment horizontal="center" readingOrder="0" vertical="center"/>
    </xf>
    <xf borderId="0" fillId="38" fontId="97" numFmtId="0" xfId="0" applyAlignment="1" applyFont="1">
      <alignment readingOrder="0"/>
    </xf>
    <xf borderId="30" fillId="34" fontId="81" numFmtId="0" xfId="0" applyAlignment="1" applyBorder="1" applyFont="1">
      <alignment horizontal="center" readingOrder="0" vertical="center"/>
    </xf>
    <xf borderId="53" fillId="34" fontId="88" numFmtId="0" xfId="0" applyAlignment="1" applyBorder="1" applyFont="1">
      <alignment readingOrder="0"/>
    </xf>
    <xf borderId="59" fillId="34" fontId="88" numFmtId="0" xfId="0" applyAlignment="1" applyBorder="1" applyFont="1">
      <alignment horizontal="left" readingOrder="0"/>
    </xf>
    <xf borderId="74" fillId="0" fontId="3" numFmtId="0" xfId="0" applyBorder="1" applyFont="1"/>
    <xf borderId="30" fillId="10" fontId="264" numFmtId="0" xfId="0" applyAlignment="1" applyBorder="1" applyFont="1">
      <alignment horizontal="center" readingOrder="0" vertical="center"/>
    </xf>
    <xf borderId="59" fillId="10" fontId="96" numFmtId="0" xfId="0" applyAlignment="1" applyBorder="1" applyFont="1">
      <alignment readingOrder="0" vertical="bottom"/>
    </xf>
    <xf borderId="76" fillId="0" fontId="3" numFmtId="0" xfId="0" applyBorder="1" applyFont="1"/>
    <xf borderId="74" fillId="10" fontId="96" numFmtId="0" xfId="0" applyAlignment="1" applyBorder="1" applyFont="1">
      <alignment readingOrder="0" vertical="bottom"/>
    </xf>
    <xf borderId="30" fillId="5" fontId="10" numFmtId="0" xfId="0" applyAlignment="1" applyBorder="1" applyFont="1">
      <alignment horizontal="center" readingOrder="0" vertical="center"/>
    </xf>
    <xf borderId="74" fillId="5" fontId="10" numFmtId="0" xfId="0" applyAlignment="1" applyBorder="1" applyFont="1">
      <alignment readingOrder="0" vertical="bottom"/>
    </xf>
    <xf borderId="112" fillId="0" fontId="3" numFmtId="0" xfId="0" applyBorder="1" applyFont="1"/>
    <xf borderId="54" fillId="5" fontId="10" numFmtId="0" xfId="0" applyAlignment="1" applyBorder="1" applyFont="1">
      <alignment horizontal="center" readingOrder="0" vertical="center"/>
    </xf>
    <xf borderId="0" fillId="5" fontId="10" numFmtId="0" xfId="0" applyAlignment="1" applyFont="1">
      <alignment readingOrder="0" vertical="bottom"/>
    </xf>
    <xf borderId="0" fillId="38" fontId="9" numFmtId="0" xfId="0" applyAlignment="1" applyFont="1">
      <alignment readingOrder="0"/>
    </xf>
    <xf borderId="0" fillId="38" fontId="9" numFmtId="0" xfId="0" applyAlignment="1" applyFont="1">
      <alignment horizontal="center" readingOrder="0" vertical="center"/>
    </xf>
    <xf borderId="53" fillId="34" fontId="91" numFmtId="0" xfId="0" applyAlignment="1" applyBorder="1" applyFont="1">
      <alignment readingOrder="0"/>
    </xf>
    <xf borderId="53" fillId="34" fontId="91" numFmtId="0" xfId="0" applyAlignment="1" applyBorder="1" applyFont="1">
      <alignment horizontal="left" readingOrder="0"/>
    </xf>
    <xf borderId="53" fillId="10" fontId="98" numFmtId="0" xfId="0" applyAlignment="1" applyBorder="1" applyFont="1">
      <alignment readingOrder="0" vertical="bottom"/>
    </xf>
    <xf borderId="0" fillId="5" fontId="90" numFmtId="0" xfId="0" applyAlignment="1" applyFont="1">
      <alignment readingOrder="0" vertical="bottom"/>
    </xf>
    <xf borderId="113" fillId="5" fontId="90" numFmtId="0" xfId="0" applyAlignment="1" applyBorder="1" applyFont="1">
      <alignment readingOrder="0" shrinkToFit="0" vertical="bottom" wrapText="0"/>
    </xf>
    <xf borderId="54" fillId="0" fontId="3" numFmtId="0" xfId="0" applyBorder="1" applyFont="1"/>
    <xf borderId="0" fillId="38" fontId="9" numFmtId="0" xfId="0" applyAlignment="1" applyFont="1">
      <alignment horizontal="left" readingOrder="0" vertical="center"/>
    </xf>
    <xf borderId="0" fillId="10" fontId="98" numFmtId="0" xfId="0" applyAlignment="1" applyFont="1">
      <alignment readingOrder="0" vertical="bottom"/>
    </xf>
    <xf borderId="114" fillId="5" fontId="90" numFmtId="0" xfId="0" applyAlignment="1" applyBorder="1" applyFont="1">
      <alignment readingOrder="0" vertical="bottom"/>
    </xf>
    <xf borderId="53" fillId="34" fontId="91" numFmtId="0" xfId="0" applyAlignment="1" applyBorder="1" applyFont="1">
      <alignment horizontal="left" readingOrder="0" vertical="center"/>
    </xf>
    <xf borderId="0" fillId="34" fontId="91" numFmtId="0" xfId="0" applyAlignment="1" applyFont="1">
      <alignment horizontal="left" readingOrder="0" vertical="center"/>
    </xf>
    <xf borderId="0" fillId="20" fontId="94" numFmtId="0" xfId="0" applyAlignment="1" applyFont="1">
      <alignment readingOrder="0" vertical="bottom"/>
    </xf>
    <xf borderId="31" fillId="20" fontId="94" numFmtId="0" xfId="0" applyAlignment="1" applyBorder="1" applyFont="1">
      <alignment readingOrder="0" vertical="bottom"/>
    </xf>
    <xf borderId="75" fillId="51" fontId="10" numFmtId="0" xfId="0" applyAlignment="1" applyBorder="1" applyFont="1">
      <alignment horizontal="center" readingOrder="0" vertical="center"/>
    </xf>
    <xf borderId="0" fillId="51" fontId="97" numFmtId="0" xfId="0" applyAlignment="1" applyFont="1">
      <alignment readingOrder="0"/>
    </xf>
    <xf borderId="82" fillId="34" fontId="91" numFmtId="0" xfId="0" applyAlignment="1" applyBorder="1" applyFont="1">
      <alignment horizontal="left" readingOrder="0" vertical="center"/>
    </xf>
    <xf borderId="115" fillId="0" fontId="3" numFmtId="0" xfId="0" applyBorder="1" applyFont="1"/>
    <xf borderId="45" fillId="10" fontId="98" numFmtId="0" xfId="0" applyAlignment="1" applyBorder="1" applyFont="1">
      <alignment readingOrder="0" vertical="bottom"/>
    </xf>
    <xf borderId="0" fillId="51" fontId="9" numFmtId="0" xfId="0" applyAlignment="1" applyFont="1">
      <alignment readingOrder="0"/>
    </xf>
    <xf borderId="116" fillId="42" fontId="265" numFmtId="0" xfId="0" applyAlignment="1" applyBorder="1" applyFont="1">
      <alignment horizontal="center" readingOrder="0" vertical="center"/>
    </xf>
    <xf borderId="53" fillId="42" fontId="122" numFmtId="0" xfId="0" applyAlignment="1" applyBorder="1" applyFont="1">
      <alignment readingOrder="0" vertical="center"/>
    </xf>
    <xf borderId="44" fillId="10" fontId="98" numFmtId="0" xfId="0" applyAlignment="1" applyBorder="1" applyFont="1">
      <alignment readingOrder="0" vertical="bottom"/>
    </xf>
    <xf borderId="117" fillId="0" fontId="3" numFmtId="0" xfId="0" applyBorder="1" applyFont="1"/>
    <xf borderId="45" fillId="5" fontId="90" numFmtId="0" xfId="0" applyAlignment="1" applyBorder="1" applyFont="1">
      <alignment readingOrder="0" vertical="bottom"/>
    </xf>
    <xf borderId="53" fillId="34" fontId="91" numFmtId="0" xfId="0" applyAlignment="1" applyBorder="1" applyFont="1">
      <alignment readingOrder="0" shrinkToFit="0" vertical="bottom" wrapText="0"/>
    </xf>
    <xf borderId="116" fillId="7" fontId="89" numFmtId="0" xfId="0" applyAlignment="1" applyBorder="1" applyFont="1">
      <alignment horizontal="center" readingOrder="0" vertical="center"/>
    </xf>
    <xf borderId="59" fillId="7" fontId="89" numFmtId="0" xfId="0" applyAlignment="1" applyBorder="1" applyFont="1">
      <alignment readingOrder="0"/>
    </xf>
    <xf borderId="74" fillId="7" fontId="22" numFmtId="0" xfId="0" applyAlignment="1" applyBorder="1" applyFont="1">
      <alignment readingOrder="0" vertical="center"/>
    </xf>
    <xf borderId="74" fillId="7" fontId="89" numFmtId="0" xfId="0" applyAlignment="1" applyBorder="1" applyFont="1">
      <alignment readingOrder="0" vertical="center"/>
    </xf>
    <xf borderId="53" fillId="42" fontId="266" numFmtId="0" xfId="0" applyAlignment="1" applyBorder="1" applyFont="1">
      <alignment readingOrder="0" vertical="center"/>
    </xf>
    <xf borderId="0" fillId="7" fontId="89" numFmtId="0" xfId="0" applyAlignment="1" applyFont="1">
      <alignment readingOrder="0" vertical="bottom"/>
    </xf>
    <xf borderId="118" fillId="5" fontId="90" numFmtId="0" xfId="0" applyAlignment="1" applyBorder="1" applyFont="1">
      <alignment readingOrder="0" vertical="bottom"/>
    </xf>
    <xf borderId="47" fillId="9" fontId="88" numFmtId="0" xfId="0" applyAlignment="1" applyBorder="1" applyFont="1">
      <alignment horizontal="center" readingOrder="0" vertical="center"/>
    </xf>
    <xf borderId="0" fillId="9" fontId="88" numFmtId="0" xfId="0" applyAlignment="1" applyFont="1">
      <alignment readingOrder="0" vertical="bottom"/>
    </xf>
    <xf borderId="116" fillId="38" fontId="10" numFmtId="0" xfId="0" applyAlignment="1" applyBorder="1" applyFont="1">
      <alignment horizontal="center" readingOrder="0" vertical="center"/>
    </xf>
    <xf borderId="53" fillId="38" fontId="10" numFmtId="0" xfId="0" applyAlignment="1" applyBorder="1" applyFont="1">
      <alignment vertical="bottom"/>
    </xf>
    <xf borderId="0" fillId="7" fontId="92" numFmtId="0" xfId="0" applyAlignment="1" applyFont="1">
      <alignment readingOrder="0"/>
    </xf>
    <xf borderId="0" fillId="7" fontId="62" numFmtId="0" xfId="0" applyAlignment="1" applyFont="1">
      <alignment readingOrder="0" vertical="center"/>
    </xf>
    <xf borderId="0" fillId="7" fontId="92" numFmtId="0" xfId="0" applyAlignment="1" applyFont="1">
      <alignment readingOrder="0" vertical="center"/>
    </xf>
    <xf borderId="0" fillId="42" fontId="266" numFmtId="0" xfId="0" applyAlignment="1" applyFont="1">
      <alignment horizontal="left" readingOrder="0" vertical="center"/>
    </xf>
    <xf borderId="0" fillId="7" fontId="92" numFmtId="0" xfId="0" applyAlignment="1" applyFont="1">
      <alignment readingOrder="0" vertical="bottom"/>
    </xf>
    <xf borderId="116" fillId="9" fontId="88" numFmtId="0" xfId="0" applyAlignment="1" applyBorder="1" applyFont="1">
      <alignment horizontal="center" readingOrder="0" vertical="center"/>
    </xf>
    <xf borderId="74" fillId="9" fontId="88" numFmtId="0" xfId="0" applyAlignment="1" applyBorder="1" applyFont="1">
      <alignment readingOrder="0" vertical="bottom"/>
    </xf>
    <xf borderId="0" fillId="9" fontId="91" numFmtId="0" xfId="0" applyAlignment="1" applyFont="1">
      <alignment readingOrder="0" vertical="bottom"/>
    </xf>
    <xf borderId="0" fillId="51" fontId="9" numFmtId="0" xfId="0" applyAlignment="1" applyFont="1">
      <alignment readingOrder="0" vertical="center"/>
    </xf>
    <xf borderId="53" fillId="38" fontId="90" numFmtId="0" xfId="0" applyAlignment="1" applyBorder="1" applyFont="1">
      <alignment vertical="bottom"/>
    </xf>
    <xf borderId="89" fillId="7" fontId="92" numFmtId="0" xfId="0" applyAlignment="1" applyBorder="1" applyFont="1">
      <alignment readingOrder="0"/>
    </xf>
    <xf borderId="53" fillId="7" fontId="92" numFmtId="0" xfId="0" applyAlignment="1" applyBorder="1" applyFont="1">
      <alignment readingOrder="0" vertical="center"/>
    </xf>
    <xf borderId="44" fillId="42" fontId="266" numFmtId="0" xfId="0" applyAlignment="1" applyBorder="1" applyFont="1">
      <alignment readingOrder="0"/>
    </xf>
    <xf borderId="59" fillId="7" fontId="89" numFmtId="0" xfId="0" applyAlignment="1" applyBorder="1" applyFont="1">
      <alignment horizontal="center" readingOrder="0" vertical="center"/>
    </xf>
    <xf borderId="53" fillId="7" fontId="105" numFmtId="0" xfId="0" applyAlignment="1" applyBorder="1" applyFont="1">
      <alignment readingOrder="0"/>
    </xf>
    <xf borderId="0" fillId="7" fontId="267" numFmtId="0" xfId="0" applyAlignment="1" applyFont="1">
      <alignment horizontal="center" readingOrder="0" vertical="center"/>
    </xf>
    <xf borderId="0" fillId="7" fontId="92" numFmtId="0" xfId="0" applyFont="1"/>
    <xf borderId="116" fillId="11" fontId="97" numFmtId="0" xfId="0" applyAlignment="1" applyBorder="1" applyFont="1">
      <alignment horizontal="center" readingOrder="0" vertical="center"/>
    </xf>
    <xf borderId="53" fillId="11" fontId="10" numFmtId="0" xfId="0" applyAlignment="1" applyBorder="1" applyFont="1">
      <alignment readingOrder="0"/>
    </xf>
    <xf borderId="53" fillId="7" fontId="92" numFmtId="0" xfId="0" applyAlignment="1" applyBorder="1" applyFont="1">
      <alignment readingOrder="0" vertical="bottom"/>
    </xf>
    <xf borderId="53" fillId="7" fontId="267" numFmtId="0" xfId="0" applyAlignment="1" applyBorder="1" applyFont="1">
      <alignment readingOrder="0"/>
    </xf>
    <xf borderId="53" fillId="11" fontId="90" numFmtId="0" xfId="0" applyAlignment="1" applyBorder="1" applyFont="1">
      <alignment readingOrder="0"/>
    </xf>
    <xf borderId="45" fillId="7" fontId="92" numFmtId="0" xfId="0" applyAlignment="1" applyBorder="1" applyFont="1">
      <alignment readingOrder="0" vertical="bottom"/>
    </xf>
    <xf borderId="119" fillId="9" fontId="91" numFmtId="0" xfId="0" applyAlignment="1" applyBorder="1" applyFont="1">
      <alignment readingOrder="0" vertical="bottom"/>
    </xf>
    <xf borderId="0" fillId="9" fontId="91" numFmtId="0" xfId="0" applyAlignment="1" applyFont="1">
      <alignment readingOrder="0" vertical="center"/>
    </xf>
    <xf borderId="53" fillId="38" fontId="90" numFmtId="0" xfId="0" applyBorder="1" applyFont="1"/>
    <xf borderId="44" fillId="7" fontId="92" numFmtId="0" xfId="0" applyAlignment="1" applyBorder="1" applyFont="1">
      <alignment readingOrder="0"/>
    </xf>
    <xf borderId="45" fillId="7" fontId="62" numFmtId="0" xfId="0" applyAlignment="1" applyBorder="1" applyFont="1">
      <alignment readingOrder="0" vertical="center"/>
    </xf>
    <xf borderId="53" fillId="7" fontId="92" numFmtId="0" xfId="0" applyBorder="1" applyFont="1"/>
    <xf borderId="119" fillId="9" fontId="91" numFmtId="0" xfId="0" applyAlignment="1" applyBorder="1" applyFont="1">
      <alignment readingOrder="0" vertical="center"/>
    </xf>
    <xf borderId="45" fillId="9" fontId="91" numFmtId="0" xfId="0" applyAlignment="1" applyBorder="1" applyFont="1">
      <alignment readingOrder="0" vertical="center"/>
    </xf>
    <xf borderId="0" fillId="7" fontId="267" numFmtId="0" xfId="0" applyAlignment="1" applyFont="1">
      <alignment readingOrder="0"/>
    </xf>
    <xf borderId="53" fillId="38" fontId="90" numFmtId="0" xfId="0" applyAlignment="1" applyBorder="1" applyFont="1">
      <alignment readingOrder="0"/>
    </xf>
    <xf borderId="116" fillId="38" fontId="88" numFmtId="0" xfId="0" applyAlignment="1" applyBorder="1" applyFont="1">
      <alignment horizontal="center" readingOrder="0" vertical="center"/>
    </xf>
    <xf borderId="59" fillId="38" fontId="88" numFmtId="0" xfId="0" applyAlignment="1" applyBorder="1" applyFont="1">
      <alignment readingOrder="0"/>
    </xf>
    <xf borderId="53" fillId="38" fontId="88" numFmtId="0" xfId="0" applyAlignment="1" applyBorder="1" applyFont="1">
      <alignment readingOrder="0"/>
    </xf>
    <xf borderId="44" fillId="11" fontId="90" numFmtId="0" xfId="0" applyAlignment="1" applyBorder="1" applyFont="1">
      <alignment readingOrder="0"/>
    </xf>
    <xf borderId="120" fillId="9" fontId="91" numFmtId="0" xfId="0" applyAlignment="1" applyBorder="1" applyFont="1">
      <alignment readingOrder="0" vertical="center"/>
    </xf>
    <xf borderId="47" fillId="7" fontId="89" numFmtId="0" xfId="0" applyAlignment="1" applyBorder="1" applyFont="1">
      <alignment horizontal="center" readingOrder="0" vertical="center"/>
    </xf>
    <xf borderId="0" fillId="7" fontId="89" numFmtId="0" xfId="0" applyAlignment="1" applyFont="1">
      <alignment readingOrder="0" vertical="center"/>
    </xf>
    <xf borderId="59" fillId="29" fontId="10" numFmtId="0" xfId="0" applyAlignment="1" applyBorder="1" applyFont="1">
      <alignment horizontal="center" readingOrder="0" vertical="center"/>
    </xf>
    <xf borderId="53" fillId="29" fontId="97" numFmtId="0" xfId="0" applyAlignment="1" applyBorder="1" applyFont="1">
      <alignment readingOrder="0"/>
    </xf>
    <xf borderId="0" fillId="29" fontId="97" numFmtId="0" xfId="0" applyAlignment="1" applyFont="1">
      <alignment horizontal="left" readingOrder="0" vertical="center"/>
    </xf>
    <xf borderId="53" fillId="38" fontId="91" numFmtId="0" xfId="0" applyAlignment="1" applyBorder="1" applyFont="1">
      <alignment readingOrder="0" vertical="bottom"/>
    </xf>
    <xf borderId="53" fillId="38" fontId="91" numFmtId="0" xfId="0" applyAlignment="1" applyBorder="1" applyFont="1">
      <alignment readingOrder="0"/>
    </xf>
    <xf borderId="59" fillId="38" fontId="88" numFmtId="0" xfId="0" applyAlignment="1" applyBorder="1" applyFont="1">
      <alignment readingOrder="0" vertical="bottom"/>
    </xf>
    <xf borderId="53" fillId="29" fontId="9" numFmtId="0" xfId="0" applyAlignment="1" applyBorder="1" applyFont="1">
      <alignment readingOrder="0"/>
    </xf>
    <xf borderId="0" fillId="29" fontId="9" numFmtId="0" xfId="0" applyAlignment="1" applyFont="1">
      <alignment readingOrder="0"/>
    </xf>
    <xf borderId="53" fillId="7" fontId="89" numFmtId="0" xfId="0" applyAlignment="1" applyBorder="1" applyFont="1">
      <alignment readingOrder="0"/>
    </xf>
    <xf borderId="53" fillId="38" fontId="91" numFmtId="0" xfId="0" applyAlignment="1" applyBorder="1" applyFont="1">
      <alignment readingOrder="0" shrinkToFit="0" vertical="bottom" wrapText="0"/>
    </xf>
    <xf borderId="53" fillId="7" fontId="92" numFmtId="0" xfId="0" applyAlignment="1" applyBorder="1" applyFont="1">
      <alignment readingOrder="0"/>
    </xf>
    <xf borderId="53" fillId="38" fontId="91" numFmtId="0" xfId="0" applyAlignment="1" applyBorder="1" applyFont="1">
      <alignment readingOrder="0" vertical="center"/>
    </xf>
    <xf borderId="116" fillId="9" fontId="81" numFmtId="0" xfId="0" applyAlignment="1" applyBorder="1" applyFont="1">
      <alignment horizontal="center" readingOrder="0" vertical="center"/>
    </xf>
    <xf borderId="0" fillId="38" fontId="91" numFmtId="0" xfId="0" applyAlignment="1" applyFont="1">
      <alignment readingOrder="0"/>
    </xf>
    <xf borderId="0" fillId="38" fontId="13" numFmtId="0" xfId="0" applyAlignment="1" applyFont="1">
      <alignment readingOrder="0"/>
    </xf>
    <xf borderId="53" fillId="9" fontId="91" numFmtId="0" xfId="0" applyAlignment="1" applyBorder="1" applyFont="1">
      <alignment readingOrder="0" vertical="bottom"/>
    </xf>
    <xf borderId="121" fillId="7" fontId="92" numFmtId="0" xfId="0" applyAlignment="1" applyBorder="1" applyFont="1">
      <alignment readingOrder="0" vertical="bottom"/>
    </xf>
    <xf borderId="75" fillId="11" fontId="65" numFmtId="0" xfId="0" applyAlignment="1" applyBorder="1" applyFont="1">
      <alignment horizontal="center" readingOrder="0" vertical="center"/>
    </xf>
    <xf borderId="0" fillId="11" fontId="81" numFmtId="0" xfId="0" applyAlignment="1" applyFont="1">
      <alignment readingOrder="0" vertical="center"/>
    </xf>
    <xf borderId="44" fillId="38" fontId="91" numFmtId="0" xfId="0" applyAlignment="1" applyBorder="1" applyFont="1">
      <alignment readingOrder="0"/>
    </xf>
    <xf borderId="31" fillId="38" fontId="91" numFmtId="0" xfId="0" applyAlignment="1" applyBorder="1" applyFont="1">
      <alignment readingOrder="0"/>
    </xf>
    <xf borderId="74" fillId="40" fontId="10" numFmtId="0" xfId="0" applyAlignment="1" applyBorder="1" applyFont="1">
      <alignment horizontal="center" readingOrder="0" vertical="center"/>
    </xf>
    <xf borderId="0" fillId="40" fontId="10" numFmtId="0" xfId="0" applyAlignment="1" applyFont="1">
      <alignment readingOrder="0" vertical="bottom"/>
    </xf>
    <xf borderId="45" fillId="9" fontId="91" numFmtId="0" xfId="0" applyAlignment="1" applyBorder="1" applyFont="1">
      <alignment readingOrder="0" vertical="bottom"/>
    </xf>
    <xf borderId="47" fillId="10" fontId="96" numFmtId="0" xfId="0" applyAlignment="1" applyBorder="1" applyFont="1">
      <alignment horizontal="center" readingOrder="0" vertical="center"/>
    </xf>
    <xf borderId="0" fillId="10" fontId="96" numFmtId="0" xfId="0" applyAlignment="1" applyFont="1">
      <alignment readingOrder="0" vertical="center"/>
    </xf>
    <xf borderId="0" fillId="11" fontId="13" numFmtId="0" xfId="0" applyAlignment="1" applyFont="1">
      <alignment readingOrder="0"/>
    </xf>
    <xf borderId="122" fillId="51" fontId="10" numFmtId="0" xfId="0" applyAlignment="1" applyBorder="1" applyFont="1">
      <alignment horizontal="center" readingOrder="0" vertical="center"/>
    </xf>
    <xf borderId="0" fillId="51" fontId="10" numFmtId="0" xfId="0" applyAlignment="1" applyFont="1">
      <alignment vertical="bottom"/>
    </xf>
    <xf borderId="0" fillId="51" fontId="10" numFmtId="0" xfId="0" applyAlignment="1" applyFont="1">
      <alignment horizontal="left" readingOrder="0" vertical="bottom"/>
    </xf>
    <xf borderId="116" fillId="40" fontId="10" numFmtId="0" xfId="0" applyAlignment="1" applyBorder="1" applyFont="1">
      <alignment horizontal="center" readingOrder="0" vertical="center"/>
    </xf>
    <xf borderId="59" fillId="40" fontId="10" numFmtId="0" xfId="0" applyAlignment="1" applyBorder="1" applyFont="1">
      <alignment horizontal="left" readingOrder="0" vertical="center"/>
    </xf>
    <xf borderId="53" fillId="40" fontId="10" numFmtId="0" xfId="0" applyAlignment="1" applyBorder="1" applyFont="1">
      <alignment horizontal="left" readingOrder="0" vertical="center"/>
    </xf>
    <xf borderId="45" fillId="40" fontId="90" numFmtId="0" xfId="0" applyAlignment="1" applyBorder="1" applyFont="1">
      <alignment readingOrder="0" vertical="bottom"/>
    </xf>
    <xf borderId="45" fillId="40" fontId="90" numFmtId="0" xfId="0" applyAlignment="1" applyBorder="1" applyFont="1">
      <alignment horizontal="left" readingOrder="0" vertical="bottom"/>
    </xf>
    <xf borderId="116" fillId="34" fontId="81" numFmtId="0" xfId="0" applyAlignment="1" applyBorder="1" applyFont="1">
      <alignment horizontal="center" readingOrder="0" vertical="center"/>
    </xf>
    <xf borderId="74" fillId="34" fontId="88" numFmtId="0" xfId="0" applyAlignment="1" applyBorder="1" applyFont="1">
      <alignment readingOrder="0" vertical="center"/>
    </xf>
    <xf borderId="116" fillId="10" fontId="96" numFmtId="0" xfId="0" applyAlignment="1" applyBorder="1" applyFont="1">
      <alignment horizontal="center" readingOrder="0" vertical="center"/>
    </xf>
    <xf borderId="74" fillId="10" fontId="96" numFmtId="0" xfId="0" applyAlignment="1" applyBorder="1" applyFont="1">
      <alignment readingOrder="0" vertical="center"/>
    </xf>
    <xf borderId="0" fillId="10" fontId="98" numFmtId="0" xfId="0" applyAlignment="1" applyFont="1">
      <alignment readingOrder="0" vertical="center"/>
    </xf>
    <xf borderId="0" fillId="51" fontId="90" numFmtId="0" xfId="0" applyAlignment="1" applyFont="1">
      <alignment horizontal="left" readingOrder="0" vertical="center"/>
    </xf>
    <xf borderId="53" fillId="40" fontId="90" numFmtId="0" xfId="0" applyAlignment="1" applyBorder="1" applyFont="1">
      <alignment horizontal="left" readingOrder="0" vertical="center"/>
    </xf>
    <xf borderId="0" fillId="40" fontId="90" numFmtId="0" xfId="0" applyAlignment="1" applyFont="1">
      <alignment readingOrder="0"/>
    </xf>
    <xf borderId="0" fillId="34" fontId="91" numFmtId="0" xfId="0" applyAlignment="1" applyFont="1">
      <alignment readingOrder="0" vertical="center"/>
    </xf>
    <xf borderId="0" fillId="10" fontId="268" numFmtId="0" xfId="0" applyAlignment="1" applyFont="1">
      <alignment readingOrder="0" vertical="bottom"/>
    </xf>
    <xf borderId="0" fillId="10" fontId="268" numFmtId="0" xfId="0" applyAlignment="1" applyFont="1">
      <alignment vertical="bottom"/>
    </xf>
    <xf borderId="0" fillId="11" fontId="13" numFmtId="0" xfId="0" applyAlignment="1" applyFont="1">
      <alignment readingOrder="0" vertical="center"/>
    </xf>
    <xf borderId="0" fillId="51" fontId="90" numFmtId="0" xfId="0" applyAlignment="1" applyFont="1">
      <alignment horizontal="left" shrinkToFit="0" vertical="bottom" wrapText="0"/>
    </xf>
    <xf borderId="45" fillId="34" fontId="91" numFmtId="0" xfId="0" applyAlignment="1" applyBorder="1" applyFont="1">
      <alignment readingOrder="0" vertical="center"/>
    </xf>
    <xf borderId="0" fillId="10" fontId="269" numFmtId="0" xfId="0" applyAlignment="1" applyFont="1">
      <alignment vertical="bottom"/>
    </xf>
    <xf borderId="123" fillId="10" fontId="270" numFmtId="0" xfId="0" applyAlignment="1" applyBorder="1" applyFont="1">
      <alignment vertical="bottom"/>
    </xf>
    <xf borderId="123" fillId="10" fontId="268" numFmtId="0" xfId="0" applyAlignment="1" applyBorder="1" applyFont="1">
      <alignment vertical="bottom"/>
    </xf>
    <xf borderId="75" fillId="31" fontId="65" numFmtId="0" xfId="0" applyAlignment="1" applyBorder="1" applyFont="1">
      <alignment horizontal="center" readingOrder="0" vertical="center"/>
    </xf>
    <xf borderId="0" fillId="31" fontId="81" numFmtId="0" xfId="0" applyAlignment="1" applyFont="1">
      <alignment readingOrder="0"/>
    </xf>
    <xf borderId="0" fillId="31" fontId="81" numFmtId="0" xfId="0" applyAlignment="1" applyFont="1">
      <alignment horizontal="left" readingOrder="0" vertical="center"/>
    </xf>
    <xf borderId="122" fillId="31" fontId="65" numFmtId="0" xfId="0" applyAlignment="1" applyBorder="1" applyFont="1">
      <alignment horizontal="center" readingOrder="0" vertical="center"/>
    </xf>
    <xf borderId="124" fillId="23" fontId="241" numFmtId="0" xfId="0" applyAlignment="1" applyBorder="1" applyFont="1">
      <alignment horizontal="center" readingOrder="0" vertical="center"/>
    </xf>
    <xf borderId="57" fillId="0" fontId="3" numFmtId="0" xfId="0" applyBorder="1" applyFont="1"/>
    <xf borderId="56" fillId="23" fontId="241" numFmtId="0" xfId="0" applyAlignment="1" applyBorder="1" applyFont="1">
      <alignment readingOrder="0"/>
    </xf>
    <xf borderId="56" fillId="0" fontId="3" numFmtId="0" xfId="0" applyBorder="1" applyFont="1"/>
    <xf borderId="0" fillId="34" fontId="88" numFmtId="0" xfId="0" applyAlignment="1" applyFont="1">
      <alignment readingOrder="0" vertical="center"/>
    </xf>
    <xf borderId="123" fillId="10" fontId="98" numFmtId="0" xfId="0" applyAlignment="1" applyBorder="1" applyFont="1">
      <alignment readingOrder="0" vertical="bottom"/>
    </xf>
    <xf borderId="47" fillId="12" fontId="10" numFmtId="0" xfId="0" applyAlignment="1" applyBorder="1" applyFont="1">
      <alignment horizontal="center" readingOrder="0" vertical="center"/>
    </xf>
    <xf borderId="0" fillId="12" fontId="10" numFmtId="0" xfId="0" applyAlignment="1" applyFont="1">
      <alignment horizontal="left" readingOrder="0"/>
    </xf>
    <xf borderId="0" fillId="31" fontId="13" numFmtId="0" xfId="0" applyAlignment="1" applyFont="1">
      <alignment readingOrder="0"/>
    </xf>
    <xf borderId="124" fillId="36" fontId="113" numFmtId="0" xfId="0" applyAlignment="1" applyBorder="1" applyFont="1">
      <alignment horizontal="center" readingOrder="0" vertical="center"/>
    </xf>
    <xf borderId="56" fillId="36" fontId="113" numFmtId="0" xfId="0" applyAlignment="1" applyBorder="1" applyFont="1">
      <alignment horizontal="left" readingOrder="0" vertical="center"/>
    </xf>
    <xf borderId="123" fillId="10" fontId="98" numFmtId="0" xfId="0" applyAlignment="1" applyBorder="1" applyFont="1">
      <alignment readingOrder="0" vertical="center"/>
    </xf>
    <xf borderId="45" fillId="20" fontId="94" numFmtId="0" xfId="0" applyAlignment="1" applyBorder="1" applyFont="1">
      <alignment readingOrder="0" vertical="center"/>
    </xf>
    <xf borderId="45" fillId="12" fontId="90" numFmtId="0" xfId="0" applyAlignment="1" applyBorder="1" applyFont="1">
      <alignment horizontal="left" readingOrder="0"/>
    </xf>
    <xf borderId="124" fillId="41" fontId="115" numFmtId="0" xfId="0" applyAlignment="1" applyBorder="1" applyFont="1">
      <alignment horizontal="center" readingOrder="0" vertical="center"/>
    </xf>
    <xf borderId="56" fillId="41" fontId="115" numFmtId="0" xfId="0" applyAlignment="1" applyBorder="1" applyFont="1">
      <alignment readingOrder="0"/>
    </xf>
    <xf borderId="124" fillId="23" fontId="81" numFmtId="0" xfId="0" applyAlignment="1" applyBorder="1" applyFont="1">
      <alignment horizontal="center" readingOrder="0" vertical="center"/>
    </xf>
    <xf borderId="45" fillId="23" fontId="88" numFmtId="0" xfId="0" applyAlignment="1" applyBorder="1" applyFont="1">
      <alignment horizontal="left" readingOrder="0"/>
    </xf>
    <xf borderId="116" fillId="12" fontId="97" numFmtId="0" xfId="0" applyAlignment="1" applyBorder="1" applyFont="1">
      <alignment horizontal="center" readingOrder="0" vertical="center"/>
    </xf>
    <xf borderId="74" fillId="12" fontId="10" numFmtId="0" xfId="0" applyAlignment="1" applyBorder="1" applyFont="1">
      <alignment horizontal="left" readingOrder="0"/>
    </xf>
    <xf borderId="57" fillId="23" fontId="88" numFmtId="0" xfId="0" applyAlignment="1" applyBorder="1" applyFont="1">
      <alignment horizontal="center" readingOrder="0" vertical="center"/>
    </xf>
    <xf borderId="74" fillId="23" fontId="88" numFmtId="0" xfId="0" applyAlignment="1" applyBorder="1" applyFont="1">
      <alignment horizontal="left" readingOrder="0"/>
    </xf>
    <xf borderId="74" fillId="20" fontId="94" numFmtId="0" xfId="0" applyAlignment="1" applyBorder="1" applyFont="1">
      <alignment horizontal="left" readingOrder="0"/>
    </xf>
    <xf borderId="74" fillId="20" fontId="10" numFmtId="0" xfId="0" applyAlignment="1" applyBorder="1" applyFont="1">
      <alignment horizontal="left" readingOrder="0"/>
    </xf>
    <xf borderId="75" fillId="36" fontId="10" numFmtId="0" xfId="0" applyAlignment="1" applyBorder="1" applyFont="1">
      <alignment horizontal="center" readingOrder="0" vertical="center"/>
    </xf>
    <xf borderId="0" fillId="36" fontId="97" numFmtId="0" xfId="0" applyAlignment="1" applyFont="1">
      <alignment readingOrder="0"/>
    </xf>
    <xf borderId="122" fillId="36" fontId="10" numFmtId="0" xfId="0" applyAlignment="1" applyBorder="1" applyFont="1">
      <alignment horizontal="center" readingOrder="0" vertical="center"/>
    </xf>
    <xf borderId="105" fillId="2" fontId="240" numFmtId="0" xfId="0" applyAlignment="1" applyBorder="1" applyFont="1">
      <alignment horizontal="left" readingOrder="0"/>
    </xf>
    <xf borderId="0" fillId="20" fontId="94" numFmtId="0" xfId="0" applyAlignment="1" applyFont="1">
      <alignment horizontal="left" readingOrder="0"/>
    </xf>
    <xf borderId="0" fillId="12" fontId="90" numFmtId="0" xfId="0" applyAlignment="1" applyFont="1">
      <alignment horizontal="left" readingOrder="0"/>
    </xf>
    <xf borderId="125" fillId="13" fontId="1" numFmtId="0" xfId="0" applyAlignment="1" applyBorder="1" applyFont="1">
      <alignment horizontal="left" readingOrder="0"/>
    </xf>
    <xf borderId="44" fillId="20" fontId="271" numFmtId="0" xfId="0" applyAlignment="1" applyBorder="1" applyFont="1">
      <alignment horizontal="left" readingOrder="0"/>
    </xf>
    <xf borderId="56" fillId="13" fontId="1" numFmtId="0" xfId="0" applyAlignment="1" applyBorder="1" applyFont="1">
      <alignment horizontal="left" readingOrder="0"/>
    </xf>
    <xf borderId="0" fillId="36" fontId="9" numFmtId="0" xfId="0" applyAlignment="1" applyFont="1">
      <alignment readingOrder="0"/>
    </xf>
    <xf borderId="126" fillId="2" fontId="240" numFmtId="0" xfId="0" applyAlignment="1" applyBorder="1" applyFont="1">
      <alignment horizontal="left" readingOrder="0"/>
    </xf>
    <xf borderId="56" fillId="23" fontId="88" numFmtId="0" xfId="0" applyAlignment="1" applyBorder="1" applyFont="1">
      <alignment horizontal="left" readingOrder="0"/>
    </xf>
    <xf borderId="58" fillId="0" fontId="3" numFmtId="0" xfId="0" applyBorder="1" applyFont="1"/>
    <xf borderId="76" fillId="37" fontId="88" numFmtId="0" xfId="0" applyAlignment="1" applyBorder="1" applyFont="1">
      <alignment horizontal="center" readingOrder="0" vertical="center"/>
    </xf>
    <xf borderId="0" fillId="37" fontId="81" numFmtId="0" xfId="0" applyAlignment="1" applyFont="1">
      <alignment readingOrder="0"/>
    </xf>
    <xf borderId="122" fillId="37" fontId="88" numFmtId="0" xfId="0" applyAlignment="1" applyBorder="1" applyFont="1">
      <alignment horizontal="center" readingOrder="0" vertical="center"/>
    </xf>
    <xf borderId="127" fillId="8" fontId="97" numFmtId="0" xfId="0" applyAlignment="1" applyBorder="1" applyFont="1">
      <alignment horizontal="center" readingOrder="0" vertical="center"/>
    </xf>
    <xf borderId="128" fillId="0" fontId="3" numFmtId="0" xfId="0" applyBorder="1" applyFont="1"/>
    <xf borderId="129" fillId="28" fontId="272" numFmtId="0" xfId="0" applyAlignment="1" applyBorder="1" applyFont="1">
      <alignment horizontal="center" readingOrder="0" vertical="center"/>
    </xf>
    <xf borderId="129" fillId="0" fontId="3" numFmtId="0" xfId="0" applyBorder="1" applyFont="1"/>
    <xf borderId="130" fillId="8" fontId="97" numFmtId="0" xfId="0" applyAlignment="1" applyBorder="1" applyFont="1">
      <alignment horizontal="center" readingOrder="0" vertical="center"/>
    </xf>
    <xf borderId="131" fillId="0" fontId="3" numFmtId="0" xfId="0" applyBorder="1" applyFont="1"/>
    <xf borderId="132" fillId="28" fontId="272" numFmtId="0" xfId="0" applyAlignment="1" applyBorder="1" applyFont="1">
      <alignment horizontal="center" readingOrder="0" vertical="center"/>
    </xf>
    <xf borderId="132" fillId="0" fontId="3" numFmtId="0" xfId="0" applyBorder="1" applyFont="1"/>
    <xf borderId="133" fillId="28" fontId="272" numFmtId="0" xfId="0" applyAlignment="1" applyBorder="1" applyFont="1">
      <alignment horizontal="center" readingOrder="0" vertical="center"/>
    </xf>
    <xf borderId="134" fillId="8" fontId="10" numFmtId="0" xfId="0" applyAlignment="1" applyBorder="1" applyFont="1">
      <alignment horizontal="center" readingOrder="0" vertical="center"/>
    </xf>
    <xf borderId="0" fillId="37" fontId="13" numFmtId="0" xfId="0" applyAlignment="1" applyFont="1">
      <alignment readingOrder="0"/>
    </xf>
    <xf borderId="55" fillId="34" fontId="88" numFmtId="0" xfId="0" applyAlignment="1" applyBorder="1" applyFont="1">
      <alignment readingOrder="0"/>
    </xf>
    <xf borderId="74" fillId="34" fontId="88" numFmtId="0" xfId="0" applyAlignment="1" applyBorder="1" applyFont="1">
      <alignment horizontal="left" readingOrder="0" vertical="center"/>
    </xf>
    <xf borderId="115" fillId="10" fontId="264" numFmtId="0" xfId="0" applyAlignment="1" applyBorder="1" applyFont="1">
      <alignment horizontal="center" readingOrder="0" vertical="center"/>
    </xf>
    <xf borderId="45" fillId="10" fontId="96" numFmtId="0" xfId="0" applyAlignment="1" applyBorder="1" applyFont="1">
      <alignment horizontal="left" readingOrder="0" vertical="center"/>
    </xf>
    <xf borderId="124" fillId="5" fontId="10" numFmtId="0" xfId="0" applyAlignment="1" applyBorder="1" applyFont="1">
      <alignment horizontal="center" readingOrder="0" vertical="center"/>
    </xf>
    <xf borderId="45" fillId="5" fontId="10" numFmtId="0" xfId="0" applyAlignment="1" applyBorder="1" applyFont="1">
      <alignment horizontal="left" readingOrder="0" vertical="center"/>
    </xf>
    <xf borderId="135" fillId="5" fontId="10" numFmtId="0" xfId="0" applyAlignment="1" applyBorder="1" applyFont="1">
      <alignment horizontal="center" readingOrder="0" vertical="center"/>
    </xf>
    <xf borderId="56" fillId="5" fontId="10" numFmtId="0" xfId="0" applyAlignment="1" applyBorder="1" applyFont="1">
      <alignment horizontal="center" readingOrder="0" vertical="center"/>
    </xf>
    <xf borderId="56" fillId="5" fontId="10" numFmtId="0" xfId="0" applyAlignment="1" applyBorder="1" applyFont="1">
      <alignment horizontal="left" readingOrder="0" vertical="center"/>
    </xf>
    <xf borderId="124" fillId="7" fontId="105" numFmtId="0" xfId="0" applyAlignment="1" applyBorder="1" applyFont="1">
      <alignment horizontal="center" readingOrder="0" vertical="center"/>
    </xf>
    <xf borderId="55" fillId="7" fontId="89" numFmtId="0" xfId="0" applyAlignment="1" applyBorder="1" applyFont="1">
      <alignment readingOrder="0"/>
    </xf>
    <xf borderId="0" fillId="7" fontId="89" numFmtId="0" xfId="0" applyAlignment="1" applyFont="1">
      <alignment horizontal="left" readingOrder="0" vertical="center"/>
    </xf>
    <xf borderId="31" fillId="7" fontId="92" numFmtId="0" xfId="0" applyAlignment="1" applyBorder="1" applyFont="1">
      <alignment readingOrder="0"/>
    </xf>
    <xf borderId="56" fillId="42" fontId="265" numFmtId="0" xfId="0" applyAlignment="1" applyBorder="1" applyFont="1">
      <alignment horizontal="center" readingOrder="0" vertical="center"/>
    </xf>
    <xf borderId="45" fillId="42" fontId="122" numFmtId="0" xfId="0" applyAlignment="1" applyBorder="1" applyFont="1">
      <alignment horizontal="left" readingOrder="0" vertical="center"/>
    </xf>
    <xf borderId="124" fillId="42" fontId="265" numFmtId="0" xfId="0" applyAlignment="1" applyBorder="1" applyFont="1">
      <alignment horizontal="center" readingOrder="0" vertical="center"/>
    </xf>
    <xf borderId="124" fillId="9" fontId="81" numFmtId="0" xfId="0" applyAlignment="1" applyBorder="1" applyFont="1">
      <alignment horizontal="center" readingOrder="0" vertical="center"/>
    </xf>
    <xf borderId="56" fillId="9" fontId="88" numFmtId="0" xfId="0" applyAlignment="1" applyBorder="1" applyFont="1">
      <alignment horizontal="left" readingOrder="0" vertical="center"/>
    </xf>
    <xf borderId="136" fillId="9" fontId="88" numFmtId="0" xfId="0" applyAlignment="1" applyBorder="1" applyFont="1">
      <alignment horizontal="left" readingOrder="0" vertical="center"/>
    </xf>
    <xf borderId="135" fillId="9" fontId="81" numFmtId="0" xfId="0" applyAlignment="1" applyBorder="1" applyFont="1">
      <alignment horizontal="center" readingOrder="0" vertical="center"/>
    </xf>
    <xf borderId="56" fillId="9" fontId="81" numFmtId="0" xfId="0" applyAlignment="1" applyBorder="1" applyFont="1">
      <alignment horizontal="center" readingOrder="0" vertical="center"/>
    </xf>
    <xf borderId="76" fillId="23" fontId="241" numFmtId="0" xfId="0" applyAlignment="1" applyBorder="1" applyFont="1">
      <alignment horizontal="center" readingOrder="0" vertical="center"/>
    </xf>
    <xf borderId="0" fillId="23" fontId="273" numFmtId="0" xfId="0" applyAlignment="1" applyFont="1">
      <alignment readingOrder="0"/>
    </xf>
    <xf borderId="122" fillId="23" fontId="241" numFmtId="0" xfId="0" applyAlignment="1" applyBorder="1" applyFont="1">
      <alignment horizontal="center" readingOrder="0" vertical="center"/>
    </xf>
    <xf borderId="124" fillId="38" fontId="88" numFmtId="0" xfId="0" applyAlignment="1" applyBorder="1" applyFont="1">
      <alignment horizontal="center" readingOrder="0" vertical="center"/>
    </xf>
    <xf borderId="56" fillId="38" fontId="88" numFmtId="0" xfId="0" applyAlignment="1" applyBorder="1" applyFont="1">
      <alignment readingOrder="0"/>
    </xf>
    <xf borderId="0" fillId="38" fontId="88" numFmtId="0" xfId="0" applyAlignment="1" applyFont="1">
      <alignment horizontal="left" readingOrder="0" vertical="center"/>
    </xf>
    <xf borderId="124" fillId="11" fontId="97" numFmtId="0" xfId="0" applyAlignment="1" applyBorder="1" applyFont="1">
      <alignment horizontal="center" readingOrder="0" vertical="center"/>
    </xf>
    <xf borderId="124" fillId="7" fontId="89" numFmtId="0" xfId="0" applyAlignment="1" applyBorder="1" applyFont="1">
      <alignment horizontal="center" readingOrder="0" vertical="center"/>
    </xf>
    <xf borderId="56" fillId="7" fontId="89" numFmtId="0" xfId="0" applyAlignment="1" applyBorder="1" applyFont="1">
      <alignment horizontal="left" readingOrder="0" vertical="center"/>
    </xf>
    <xf borderId="135" fillId="7" fontId="89" numFmtId="0" xfId="0" applyAlignment="1" applyBorder="1" applyFont="1">
      <alignment horizontal="center" readingOrder="0" vertical="center"/>
    </xf>
    <xf borderId="56" fillId="7" fontId="89" numFmtId="0" xfId="0" applyAlignment="1" applyBorder="1" applyFont="1">
      <alignment horizontal="center" readingOrder="0" vertical="center"/>
    </xf>
    <xf borderId="0" fillId="23" fontId="274" numFmtId="0" xfId="0" applyAlignment="1" applyFont="1">
      <alignment readingOrder="0"/>
    </xf>
    <xf borderId="124" fillId="40" fontId="10" numFmtId="0" xfId="0" applyAlignment="1" applyBorder="1" applyFont="1">
      <alignment horizontal="center" readingOrder="0" vertical="center"/>
    </xf>
    <xf borderId="55" fillId="40" fontId="10" numFmtId="0" xfId="0" applyAlignment="1" applyBorder="1" applyFont="1">
      <alignment horizontal="left" readingOrder="0" vertical="center"/>
    </xf>
    <xf borderId="0" fillId="38" fontId="88" numFmtId="0" xfId="0" applyAlignment="1" applyFont="1">
      <alignment readingOrder="0"/>
    </xf>
    <xf borderId="31" fillId="38" fontId="88" numFmtId="0" xfId="0" applyAlignment="1" applyBorder="1" applyFont="1">
      <alignment readingOrder="0"/>
    </xf>
    <xf borderId="45" fillId="7" fontId="89" numFmtId="0" xfId="0" applyAlignment="1" applyBorder="1" applyFont="1">
      <alignment horizontal="left" readingOrder="0" vertical="center"/>
    </xf>
    <xf borderId="56" fillId="40" fontId="10" numFmtId="0" xfId="0" applyAlignment="1" applyBorder="1" applyFont="1">
      <alignment horizontal="left" readingOrder="0" vertical="center"/>
    </xf>
    <xf borderId="56" fillId="10" fontId="96" numFmtId="0" xfId="0" applyAlignment="1" applyBorder="1" applyFont="1">
      <alignment horizontal="left" readingOrder="0" vertical="center"/>
    </xf>
    <xf borderId="117" fillId="10" fontId="264" numFmtId="0" xfId="0" applyAlignment="1" applyBorder="1" applyFont="1">
      <alignment horizontal="center" readingOrder="0" vertical="center"/>
    </xf>
    <xf borderId="45" fillId="10" fontId="264" numFmtId="0" xfId="0" applyAlignment="1" applyBorder="1" applyFont="1">
      <alignment horizontal="center" readingOrder="0" vertical="center"/>
    </xf>
    <xf borderId="74" fillId="10" fontId="96" numFmtId="0" xfId="0" applyAlignment="1" applyBorder="1" applyFont="1">
      <alignment horizontal="left" readingOrder="0" vertical="center"/>
    </xf>
    <xf borderId="57" fillId="64" fontId="10" numFmtId="0" xfId="0" applyAlignment="1" applyBorder="1" applyFont="1">
      <alignment horizontal="center" readingOrder="0" vertical="center"/>
    </xf>
    <xf borderId="0" fillId="64" fontId="97" numFmtId="0" xfId="0" applyAlignment="1" applyFont="1">
      <alignment readingOrder="0"/>
    </xf>
    <xf borderId="135" fillId="64" fontId="10" numFmtId="0" xfId="0" applyAlignment="1" applyBorder="1" applyFont="1">
      <alignment horizontal="center" readingOrder="0" vertical="center"/>
    </xf>
    <xf borderId="56" fillId="23" fontId="241" numFmtId="0" xfId="0" applyAlignment="1" applyBorder="1" applyFont="1">
      <alignment horizontal="center" readingOrder="0" vertical="center"/>
    </xf>
    <xf borderId="56" fillId="23" fontId="241" numFmtId="0" xfId="0" applyAlignment="1" applyBorder="1" applyFont="1">
      <alignment horizontal="left" readingOrder="0"/>
    </xf>
    <xf borderId="44" fillId="40" fontId="10" numFmtId="0" xfId="0" applyAlignment="1" applyBorder="1" applyFont="1">
      <alignment horizontal="left" readingOrder="0" vertical="center"/>
    </xf>
    <xf borderId="45" fillId="40" fontId="10" numFmtId="0" xfId="0" applyAlignment="1" applyBorder="1" applyFont="1">
      <alignment horizontal="left" readingOrder="0" vertical="center"/>
    </xf>
    <xf borderId="45" fillId="9" fontId="88" numFmtId="0" xfId="0" applyAlignment="1" applyBorder="1" applyFont="1">
      <alignment horizontal="left" readingOrder="0" vertical="center"/>
    </xf>
    <xf borderId="137" fillId="2" fontId="240" numFmtId="0" xfId="0" applyAlignment="1" applyBorder="1" applyFont="1">
      <alignment horizontal="left" readingOrder="0"/>
    </xf>
    <xf borderId="76" fillId="33" fontId="107" numFmtId="0" xfId="0" applyAlignment="1" applyBorder="1" applyFont="1">
      <alignment horizontal="center" readingOrder="0" vertical="center"/>
    </xf>
    <xf borderId="0" fillId="33" fontId="275" numFmtId="0" xfId="0" applyAlignment="1" applyFont="1">
      <alignment readingOrder="0"/>
    </xf>
    <xf borderId="122" fillId="35" fontId="81" numFmtId="0" xfId="0" applyAlignment="1" applyBorder="1" applyFont="1">
      <alignment horizontal="center" readingOrder="0" vertical="center"/>
    </xf>
    <xf borderId="0" fillId="35" fontId="1" numFmtId="0" xfId="0" applyAlignment="1" applyFont="1">
      <alignment horizontal="left" readingOrder="0"/>
    </xf>
    <xf borderId="0" fillId="35" fontId="1" numFmtId="0" xfId="0" applyAlignment="1" applyFont="1">
      <alignment readingOrder="0"/>
    </xf>
    <xf borderId="45" fillId="23" fontId="241" numFmtId="0" xfId="0" applyAlignment="1" applyBorder="1" applyFont="1">
      <alignment horizontal="left" readingOrder="0" vertical="center"/>
    </xf>
    <xf borderId="138" fillId="0" fontId="3" numFmtId="0" xfId="0" applyBorder="1" applyFont="1"/>
    <xf borderId="115" fillId="34" fontId="81" numFmtId="0" xfId="0" applyAlignment="1" applyBorder="1" applyFont="1">
      <alignment horizontal="center" readingOrder="0" vertical="center"/>
    </xf>
    <xf borderId="45" fillId="34" fontId="88" numFmtId="0" xfId="0" applyAlignment="1" applyBorder="1" applyFont="1">
      <alignment horizontal="left" readingOrder="0" vertical="center"/>
    </xf>
    <xf borderId="139" fillId="8" fontId="97" numFmtId="0" xfId="0" applyAlignment="1" applyBorder="1" applyFont="1">
      <alignment horizontal="center" readingOrder="0" vertical="center"/>
    </xf>
    <xf borderId="42" fillId="28" fontId="263" numFmtId="0" xfId="0" applyAlignment="1" applyBorder="1" applyFont="1">
      <alignment horizontal="center" readingOrder="0" vertical="center"/>
    </xf>
    <xf borderId="140" fillId="2" fontId="240" numFmtId="0" xfId="0" applyAlignment="1" applyBorder="1" applyFont="1">
      <alignment horizontal="left" readingOrder="0"/>
    </xf>
    <xf borderId="0" fillId="38" fontId="97" numFmtId="0" xfId="0" applyAlignment="1" applyFont="1">
      <alignment horizontal="center" readingOrder="0" vertical="center"/>
    </xf>
    <xf borderId="0" fillId="38" fontId="97" numFmtId="0" xfId="0" applyAlignment="1" applyFont="1">
      <alignment horizontal="left" readingOrder="0" vertical="center"/>
    </xf>
    <xf borderId="54" fillId="34" fontId="81" numFmtId="0" xfId="0" applyAlignment="1" applyBorder="1" applyFont="1">
      <alignment horizontal="center" readingOrder="0" vertical="center"/>
    </xf>
    <xf borderId="0" fillId="15" fontId="1" numFmtId="0" xfId="0" applyAlignment="1" applyFont="1">
      <alignment horizontal="left" readingOrder="0" vertical="center"/>
    </xf>
    <xf borderId="0" fillId="51" fontId="97" numFmtId="0" xfId="0" applyAlignment="1" applyFont="1">
      <alignment horizontal="center" readingOrder="0" vertical="center"/>
    </xf>
    <xf borderId="135" fillId="38" fontId="97" numFmtId="0" xfId="0" applyAlignment="1" applyBorder="1" applyFont="1">
      <alignment horizontal="center" readingOrder="0" vertical="center"/>
    </xf>
    <xf borderId="0" fillId="7" fontId="105" numFmtId="0" xfId="0" applyAlignment="1" applyFont="1">
      <alignment horizontal="left" readingOrder="0" vertical="center"/>
    </xf>
    <xf borderId="135" fillId="7" fontId="105" numFmtId="0" xfId="0" applyAlignment="1" applyBorder="1" applyFont="1">
      <alignment horizontal="center" readingOrder="0" vertical="center"/>
    </xf>
    <xf borderId="0" fillId="7" fontId="105" numFmtId="0" xfId="0" applyAlignment="1" applyFont="1">
      <alignment readingOrder="0"/>
    </xf>
    <xf borderId="135" fillId="51" fontId="97" numFmtId="0" xfId="0" applyAlignment="1" applyBorder="1" applyFont="1">
      <alignment horizontal="center" readingOrder="0" vertical="center"/>
    </xf>
    <xf borderId="0" fillId="11" fontId="81" numFmtId="0" xfId="0" applyAlignment="1" applyFont="1">
      <alignment horizontal="left" readingOrder="0"/>
    </xf>
    <xf borderId="124" fillId="31" fontId="81" numFmtId="0" xfId="0" applyAlignment="1" applyBorder="1" applyFont="1">
      <alignment horizontal="center" readingOrder="0" vertical="center"/>
    </xf>
    <xf borderId="53" fillId="31" fontId="81" numFmtId="0" xfId="0" applyAlignment="1" applyBorder="1" applyFont="1">
      <alignment horizontal="left" readingOrder="0" vertical="center"/>
    </xf>
    <xf borderId="135" fillId="36" fontId="97" numFmtId="0" xfId="0" applyAlignment="1" applyBorder="1" applyFont="1">
      <alignment horizontal="center" readingOrder="0" vertical="center"/>
    </xf>
    <xf borderId="0" fillId="36" fontId="97" numFmtId="0" xfId="0" applyAlignment="1" applyFont="1">
      <alignment horizontal="left" readingOrder="0"/>
    </xf>
    <xf borderId="0" fillId="36" fontId="97" numFmtId="0" xfId="0" applyAlignment="1" applyFont="1">
      <alignment horizontal="center" readingOrder="0" vertical="center"/>
    </xf>
    <xf borderId="135" fillId="37" fontId="81" numFmtId="0" xfId="0" applyAlignment="1" applyBorder="1" applyFont="1">
      <alignment horizontal="center" readingOrder="0" vertical="center"/>
    </xf>
    <xf borderId="0" fillId="37" fontId="81" numFmtId="0" xfId="0" applyAlignment="1" applyFont="1">
      <alignment horizontal="left" readingOrder="0" vertical="center"/>
    </xf>
    <xf borderId="135" fillId="23" fontId="273" numFmtId="0" xfId="0" applyAlignment="1" applyBorder="1" applyFont="1">
      <alignment horizontal="center" readingOrder="0" vertical="center"/>
    </xf>
    <xf borderId="0" fillId="23" fontId="273" numFmtId="0" xfId="0" applyAlignment="1" applyFont="1">
      <alignment horizontal="left" readingOrder="0"/>
    </xf>
    <xf borderId="0" fillId="23" fontId="273" numFmtId="0" xfId="0" applyAlignment="1" applyFont="1">
      <alignment horizontal="center" readingOrder="0" vertical="center"/>
    </xf>
    <xf borderId="135" fillId="35" fontId="81" numFmtId="0" xfId="0" applyAlignment="1" applyBorder="1" applyFont="1">
      <alignment horizontal="center" readingOrder="0" vertical="center"/>
    </xf>
    <xf borderId="0" fillId="35" fontId="81" numFmtId="0" xfId="0" applyAlignment="1" applyFont="1">
      <alignment readingOrder="0"/>
    </xf>
    <xf borderId="0" fillId="33" fontId="107" numFmtId="0" xfId="0" applyAlignment="1" applyFont="1">
      <alignment horizontal="left" readingOrder="0" vertical="center"/>
    </xf>
    <xf borderId="129" fillId="14" fontId="13" numFmtId="0" xfId="0" applyAlignment="1" applyBorder="1" applyFont="1">
      <alignment horizontal="center" vertical="center"/>
    </xf>
    <xf borderId="141" fillId="14" fontId="13" numFmtId="0" xfId="0" applyAlignment="1" applyBorder="1" applyFont="1">
      <alignment horizontal="center" vertical="center"/>
    </xf>
    <xf borderId="129" fillId="41" fontId="13" numFmtId="0" xfId="0" applyBorder="1" applyFont="1"/>
    <xf borderId="129" fillId="41" fontId="276" numFmtId="0" xfId="0" applyAlignment="1" applyBorder="1" applyFont="1">
      <alignment horizontal="center" readingOrder="0" vertical="center"/>
    </xf>
    <xf borderId="141" fillId="41" fontId="13" numFmtId="0" xfId="0" applyBorder="1" applyFont="1"/>
    <xf borderId="0" fillId="14" fontId="13" numFmtId="0" xfId="0" applyAlignment="1" applyFont="1">
      <alignment horizontal="center" vertical="center"/>
    </xf>
    <xf borderId="59" fillId="65" fontId="13" numFmtId="0" xfId="0" applyAlignment="1" applyBorder="1" applyFill="1" applyFont="1">
      <alignment horizontal="center" vertical="center"/>
    </xf>
    <xf borderId="74" fillId="65" fontId="13" numFmtId="0" xfId="0" applyAlignment="1" applyBorder="1" applyFont="1">
      <alignment horizontal="center" vertical="center"/>
    </xf>
    <xf borderId="76" fillId="65" fontId="13" numFmtId="0" xfId="0" applyAlignment="1" applyBorder="1" applyFont="1">
      <alignment horizontal="center" vertical="center"/>
    </xf>
    <xf borderId="142" fillId="14" fontId="13" numFmtId="0" xfId="0" applyAlignment="1" applyBorder="1" applyFont="1">
      <alignment horizontal="center" vertical="center"/>
    </xf>
    <xf borderId="0" fillId="41" fontId="13" numFmtId="0" xfId="0" applyFont="1"/>
    <xf borderId="142" fillId="41" fontId="13" numFmtId="0" xfId="0" applyBorder="1" applyFont="1"/>
    <xf borderId="53" fillId="65" fontId="13" numFmtId="0" xfId="0" applyAlignment="1" applyBorder="1" applyFont="1">
      <alignment horizontal="center" vertical="center"/>
    </xf>
    <xf borderId="0" fillId="65" fontId="49" numFmtId="0" xfId="0" applyAlignment="1" applyFont="1">
      <alignment horizontal="center" readingOrder="0" vertical="center"/>
    </xf>
    <xf borderId="47" fillId="65" fontId="13" numFmtId="0" xfId="0" applyAlignment="1" applyBorder="1" applyFont="1">
      <alignment horizontal="center" vertical="center"/>
    </xf>
    <xf borderId="0" fillId="14" fontId="146" numFmtId="0" xfId="0" applyAlignment="1" applyFont="1">
      <alignment vertical="center"/>
    </xf>
    <xf borderId="0" fillId="65" fontId="146" numFmtId="0" xfId="0" applyFont="1"/>
    <xf borderId="0" fillId="65" fontId="146" numFmtId="0" xfId="0" applyAlignment="1" applyFont="1">
      <alignment horizontal="center" vertical="center"/>
    </xf>
    <xf borderId="26" fillId="12" fontId="10" numFmtId="0" xfId="0" applyAlignment="1" applyBorder="1" applyFont="1">
      <alignment horizontal="center" readingOrder="0" vertical="center"/>
    </xf>
    <xf borderId="26" fillId="10" fontId="96" numFmtId="0" xfId="0" applyAlignment="1" applyBorder="1" applyFont="1">
      <alignment horizontal="center" readingOrder="0" vertical="center"/>
    </xf>
    <xf borderId="0" fillId="65" fontId="13" numFmtId="0" xfId="0" applyAlignment="1" applyFont="1">
      <alignment horizontal="center" vertical="center"/>
    </xf>
    <xf borderId="143" fillId="41" fontId="13" numFmtId="0" xfId="0" applyBorder="1" applyFont="1"/>
    <xf borderId="26" fillId="8" fontId="10" numFmtId="0" xfId="0" applyAlignment="1" applyBorder="1" applyFont="1">
      <alignment horizontal="center" readingOrder="0" vertical="center"/>
    </xf>
    <xf borderId="0" fillId="65" fontId="277" numFmtId="0" xfId="0" applyAlignment="1" applyFont="1">
      <alignment horizontal="center" vertical="center"/>
    </xf>
    <xf borderId="0" fillId="65" fontId="65" numFmtId="0" xfId="0" applyAlignment="1" applyFont="1">
      <alignment horizontal="center" readingOrder="0" vertical="center"/>
    </xf>
    <xf borderId="26" fillId="13" fontId="88" numFmtId="0" xfId="0" applyAlignment="1" applyBorder="1" applyFont="1">
      <alignment horizontal="center" readingOrder="0" shrinkToFit="0" vertical="center" wrapText="1"/>
    </xf>
    <xf borderId="0" fillId="65" fontId="88" numFmtId="0" xfId="0" applyAlignment="1" applyFont="1">
      <alignment horizontal="center" readingOrder="0" vertical="center"/>
    </xf>
    <xf borderId="144" fillId="14" fontId="13" numFmtId="0" xfId="0" applyAlignment="1" applyBorder="1" applyFont="1">
      <alignment horizontal="center" vertical="center"/>
    </xf>
    <xf borderId="0" fillId="41" fontId="85" numFmtId="0" xfId="0" applyAlignment="1" applyFont="1">
      <alignment horizontal="center" readingOrder="0" vertical="center"/>
    </xf>
    <xf borderId="44" fillId="65" fontId="13" numFmtId="0" xfId="0" applyAlignment="1" applyBorder="1" applyFont="1">
      <alignment horizontal="center" vertical="center"/>
    </xf>
    <xf borderId="45" fillId="65" fontId="13" numFmtId="0" xfId="0" applyAlignment="1" applyBorder="1" applyFont="1">
      <alignment horizontal="center" vertical="center"/>
    </xf>
    <xf borderId="46" fillId="65" fontId="13" numFmtId="0" xfId="0" applyAlignment="1" applyBorder="1" applyFont="1">
      <alignment horizontal="center" vertical="center"/>
    </xf>
    <xf borderId="0" fillId="14" fontId="277" numFmtId="0" xfId="0" applyAlignment="1" applyFont="1">
      <alignment horizontal="center" vertical="center"/>
    </xf>
    <xf borderId="53" fillId="65" fontId="277" numFmtId="0" xfId="0" applyAlignment="1" applyBorder="1" applyFont="1">
      <alignment horizontal="center" vertical="center"/>
    </xf>
    <xf borderId="26" fillId="9" fontId="65" numFmtId="0" xfId="0" applyAlignment="1" applyBorder="1" applyFont="1">
      <alignment horizontal="center" readingOrder="0" vertical="center"/>
    </xf>
    <xf borderId="26" fillId="13" fontId="88" numFmtId="0" xfId="0" applyAlignment="1" applyBorder="1" applyFont="1">
      <alignment horizontal="center" readingOrder="0" vertical="center"/>
    </xf>
    <xf borderId="0" fillId="14" fontId="65" numFmtId="0" xfId="0" applyAlignment="1" applyFont="1">
      <alignment horizontal="center" readingOrder="0" vertical="top"/>
    </xf>
    <xf borderId="0" fillId="14" fontId="278" numFmtId="0" xfId="0" applyAlignment="1" applyFont="1">
      <alignment horizontal="center" readingOrder="0" vertical="center"/>
    </xf>
    <xf borderId="44" fillId="65" fontId="277" numFmtId="0" xfId="0" applyAlignment="1" applyBorder="1" applyFont="1">
      <alignment horizontal="center" vertical="center"/>
    </xf>
    <xf borderId="45" fillId="65" fontId="277" numFmtId="0" xfId="0" applyAlignment="1" applyBorder="1" applyFont="1">
      <alignment horizontal="center" vertical="center"/>
    </xf>
    <xf borderId="6" fillId="41" fontId="13" numFmtId="0" xfId="0" applyBorder="1" applyFont="1"/>
    <xf borderId="7" fillId="41" fontId="13" numFmtId="0" xfId="0" applyBorder="1" applyFont="1"/>
    <xf borderId="7" fillId="41" fontId="13" numFmtId="0" xfId="0" applyAlignment="1" applyBorder="1" applyFont="1">
      <alignment horizontal="center" vertical="center"/>
    </xf>
    <xf borderId="0" fillId="14" fontId="96" numFmtId="0" xfId="0" applyAlignment="1" applyFont="1">
      <alignment horizontal="center" readingOrder="0" vertical="center"/>
    </xf>
    <xf borderId="0" fillId="14" fontId="88" numFmtId="0" xfId="0" applyAlignment="1" applyFont="1">
      <alignment horizontal="center" readingOrder="0" vertical="center"/>
    </xf>
    <xf borderId="143" fillId="14" fontId="13" numFmtId="0" xfId="0" applyAlignment="1" applyBorder="1" applyFont="1">
      <alignment vertical="bottom"/>
    </xf>
    <xf borderId="129" fillId="14" fontId="279" numFmtId="0" xfId="0" applyAlignment="1" applyBorder="1" applyFont="1">
      <alignment horizontal="center" readingOrder="0" vertical="center"/>
    </xf>
    <xf borderId="0" fillId="14" fontId="64" numFmtId="0" xfId="0" applyAlignment="1" applyFont="1">
      <alignment horizontal="center" readingOrder="0" vertical="bottom"/>
    </xf>
    <xf borderId="31" fillId="14" fontId="64" numFmtId="0" xfId="0" applyAlignment="1" applyBorder="1" applyFont="1">
      <alignment horizontal="left" readingOrder="0" vertical="bottom"/>
    </xf>
    <xf borderId="0" fillId="14" fontId="280" numFmtId="0" xfId="0" applyAlignment="1" applyFont="1">
      <alignment horizontal="center" vertical="center"/>
    </xf>
    <xf borderId="0" fillId="14" fontId="64" numFmtId="0" xfId="0" applyAlignment="1" applyFont="1">
      <alignment horizontal="left" readingOrder="0" vertical="bottom"/>
    </xf>
    <xf borderId="31" fillId="14" fontId="146" numFmtId="0" xfId="0" applyAlignment="1" applyBorder="1" applyFont="1">
      <alignment vertical="center"/>
    </xf>
    <xf borderId="26" fillId="9" fontId="88" numFmtId="0" xfId="0" applyAlignment="1" applyBorder="1" applyFont="1">
      <alignment horizontal="center" readingOrder="0" vertical="center"/>
    </xf>
    <xf borderId="0" fillId="14" fontId="13" numFmtId="0" xfId="0" applyAlignment="1" applyFont="1">
      <alignment horizontal="center" vertical="center"/>
    </xf>
    <xf borderId="47" fillId="65" fontId="277" numFmtId="0" xfId="0" applyAlignment="1" applyBorder="1" applyFont="1">
      <alignment horizontal="center" vertical="center"/>
    </xf>
    <xf borderId="0" fillId="14" fontId="65" numFmtId="0" xfId="0" applyAlignment="1" applyFont="1">
      <alignment horizontal="center" readingOrder="0" vertical="center"/>
    </xf>
    <xf borderId="0" fillId="14" fontId="64" numFmtId="0" xfId="0" applyAlignment="1" applyFont="1">
      <alignment horizontal="center" readingOrder="0" vertical="center"/>
    </xf>
    <xf borderId="73" fillId="14" fontId="146" numFmtId="0" xfId="0" applyAlignment="1" applyBorder="1" applyFont="1">
      <alignment vertical="center"/>
    </xf>
    <xf borderId="45" fillId="14" fontId="146" numFmtId="0" xfId="0" applyAlignment="1" applyBorder="1" applyFont="1">
      <alignment vertical="center"/>
    </xf>
    <xf borderId="56" fillId="65" fontId="277" numFmtId="0" xfId="0" applyAlignment="1" applyBorder="1" applyFont="1">
      <alignment horizontal="center" vertical="center"/>
    </xf>
    <xf borderId="0" fillId="14" fontId="81" numFmtId="0" xfId="0" applyAlignment="1" applyFont="1">
      <alignment horizontal="center" vertical="center"/>
    </xf>
    <xf borderId="0" fillId="14" fontId="146" numFmtId="0" xfId="0" applyAlignment="1" applyFont="1">
      <alignment vertical="center"/>
    </xf>
    <xf borderId="47" fillId="14" fontId="146" numFmtId="0" xfId="0" applyAlignment="1" applyBorder="1" applyFont="1">
      <alignment vertical="center"/>
    </xf>
    <xf borderId="45" fillId="65" fontId="146" numFmtId="0" xfId="0" applyAlignment="1" applyBorder="1" applyFont="1">
      <alignment vertical="center"/>
    </xf>
    <xf borderId="46" fillId="65" fontId="146" numFmtId="0" xfId="0" applyAlignment="1" applyBorder="1" applyFont="1">
      <alignment vertical="center"/>
    </xf>
    <xf borderId="53" fillId="65" fontId="280" numFmtId="0" xfId="0" applyAlignment="1" applyBorder="1" applyFont="1">
      <alignment horizontal="center" vertical="center"/>
    </xf>
    <xf borderId="47" fillId="65" fontId="280" numFmtId="0" xfId="0" applyAlignment="1" applyBorder="1" applyFont="1">
      <alignment horizontal="center" vertical="center"/>
    </xf>
    <xf borderId="0" fillId="14" fontId="81" numFmtId="0" xfId="0" applyAlignment="1" applyFont="1">
      <alignment horizontal="left" readingOrder="0" vertical="center"/>
    </xf>
    <xf borderId="44" fillId="65" fontId="280" numFmtId="0" xfId="0" applyAlignment="1" applyBorder="1" applyFont="1">
      <alignment horizontal="center" vertical="center"/>
    </xf>
    <xf borderId="45" fillId="65" fontId="280" numFmtId="0" xfId="0" applyAlignment="1" applyBorder="1" applyFont="1">
      <alignment horizontal="center" vertical="center"/>
    </xf>
    <xf borderId="0" fillId="65" fontId="280" numFmtId="0" xfId="0" applyFont="1"/>
    <xf borderId="45" fillId="65" fontId="280" numFmtId="0" xfId="0" applyBorder="1" applyFont="1"/>
    <xf borderId="46" fillId="65" fontId="280" numFmtId="0" xfId="0" applyAlignment="1" applyBorder="1" applyFont="1">
      <alignment horizontal="center" vertical="center"/>
    </xf>
    <xf borderId="0" fillId="14" fontId="91" numFmtId="0" xfId="0" applyAlignment="1" applyFont="1">
      <alignment horizontal="center" vertical="center"/>
    </xf>
    <xf borderId="0" fillId="14" fontId="280" numFmtId="0" xfId="0" applyAlignment="1" applyFont="1">
      <alignment horizontal="center" vertical="center"/>
    </xf>
    <xf borderId="26" fillId="12" fontId="97" numFmtId="0" xfId="0" applyAlignment="1" applyBorder="1" applyFont="1">
      <alignment horizontal="center" readingOrder="0" vertical="center"/>
    </xf>
    <xf borderId="45" fillId="14" fontId="91" numFmtId="0" xfId="0" applyAlignment="1" applyBorder="1" applyFont="1">
      <alignment horizontal="center" vertical="center"/>
    </xf>
    <xf borderId="47" fillId="14" fontId="91" numFmtId="0" xfId="0" applyAlignment="1" applyBorder="1" applyFont="1">
      <alignment horizontal="center" vertical="center"/>
    </xf>
    <xf borderId="50" fillId="65" fontId="91" numFmtId="0" xfId="0" applyAlignment="1" applyBorder="1" applyFont="1">
      <alignment horizontal="center" vertical="center"/>
    </xf>
    <xf borderId="145" fillId="14" fontId="146" numFmtId="0" xfId="0" applyAlignment="1" applyBorder="1" applyFont="1">
      <alignment vertical="center"/>
    </xf>
    <xf borderId="0" fillId="14" fontId="81" numFmtId="0" xfId="0" applyAlignment="1" applyFont="1">
      <alignment horizontal="left" vertical="center"/>
    </xf>
    <xf borderId="26" fillId="7" fontId="89" numFmtId="0" xfId="0" applyAlignment="1" applyBorder="1" applyFont="1">
      <alignment horizontal="center" readingOrder="0" vertical="center"/>
    </xf>
    <xf borderId="0" fillId="14" fontId="91" numFmtId="0" xfId="0" applyAlignment="1" applyFont="1">
      <alignment horizontal="center" vertical="center"/>
    </xf>
    <xf borderId="146" fillId="14" fontId="146" numFmtId="0" xfId="0" applyAlignment="1" applyBorder="1" applyFont="1">
      <alignment vertical="center"/>
    </xf>
    <xf borderId="146" fillId="14" fontId="146" numFmtId="0" xfId="0" applyAlignment="1" applyBorder="1" applyFont="1">
      <alignment vertical="center"/>
    </xf>
    <xf borderId="147" fillId="14" fontId="146" numFmtId="0" xfId="0" applyAlignment="1" applyBorder="1" applyFont="1">
      <alignment vertical="center"/>
    </xf>
    <xf borderId="0" fillId="14" fontId="91" numFmtId="0" xfId="0" applyAlignment="1" applyFont="1">
      <alignment vertical="center"/>
    </xf>
    <xf borderId="31" fillId="14" fontId="91" numFmtId="0" xfId="0" applyAlignment="1" applyBorder="1" applyFont="1">
      <alignment vertical="center"/>
    </xf>
    <xf borderId="63" fillId="65" fontId="91" numFmtId="0" xfId="0" applyAlignment="1" applyBorder="1" applyFont="1">
      <alignment horizontal="center" vertical="center"/>
    </xf>
    <xf borderId="73" fillId="14" fontId="91" numFmtId="0" xfId="0" applyAlignment="1" applyBorder="1" applyFont="1">
      <alignment vertical="center"/>
    </xf>
    <xf borderId="0" fillId="14" fontId="91" numFmtId="0" xfId="0" applyAlignment="1" applyFont="1">
      <alignment vertical="center"/>
    </xf>
    <xf borderId="0" fillId="14" fontId="13" numFmtId="0" xfId="0" applyFont="1"/>
    <xf borderId="0" fillId="14" fontId="81" numFmtId="0" xfId="0" applyFont="1"/>
    <xf borderId="0" fillId="14" fontId="81" numFmtId="0" xfId="0" applyAlignment="1" applyFont="1">
      <alignment vertical="center"/>
    </xf>
    <xf borderId="0" fillId="14" fontId="10" numFmtId="0" xfId="0" applyAlignment="1" applyFont="1">
      <alignment horizontal="center" readingOrder="0" vertical="center"/>
    </xf>
    <xf borderId="142" fillId="14" fontId="13" numFmtId="0" xfId="0" applyBorder="1" applyFont="1"/>
    <xf borderId="0" fillId="14" fontId="13" numFmtId="0" xfId="0" applyAlignment="1" applyFont="1">
      <alignment vertical="bottom"/>
    </xf>
    <xf borderId="0" fillId="14" fontId="281" numFmtId="0" xfId="0" applyAlignment="1" applyFont="1">
      <alignment horizontal="center" vertical="center"/>
    </xf>
    <xf borderId="143" fillId="14" fontId="13" numFmtId="0" xfId="0" applyBorder="1" applyFont="1"/>
    <xf borderId="7" fillId="14" fontId="13" numFmtId="0" xfId="0" applyAlignment="1" applyBorder="1" applyFont="1">
      <alignment horizontal="center" vertical="center"/>
    </xf>
    <xf borderId="8" fillId="14" fontId="13" numFmtId="0" xfId="0" applyAlignment="1" applyBorder="1" applyFont="1">
      <alignment horizontal="center" vertical="center"/>
    </xf>
    <xf borderId="7" fillId="14" fontId="13" numFmtId="0" xfId="0" applyAlignment="1" applyBorder="1" applyFont="1">
      <alignment vertical="bottom"/>
    </xf>
    <xf borderId="7" fillId="14" fontId="13" numFmtId="0" xfId="0" applyBorder="1" applyFont="1"/>
    <xf borderId="8" fillId="14" fontId="13" numFmtId="0" xfId="0" applyBorder="1" applyFont="1"/>
    <xf borderId="148" fillId="20" fontId="26" numFmtId="0" xfId="0" applyAlignment="1" applyBorder="1" applyFont="1">
      <alignment horizontal="center" readingOrder="0" vertical="center"/>
    </xf>
    <xf borderId="17" fillId="20" fontId="85" numFmtId="0" xfId="0" applyAlignment="1" applyBorder="1" applyFont="1">
      <alignment horizontal="center" readingOrder="0" vertical="center"/>
    </xf>
    <xf borderId="17" fillId="20" fontId="10" numFmtId="0" xfId="0" applyAlignment="1" applyBorder="1" applyFont="1">
      <alignment horizontal="center" readingOrder="0" vertical="center"/>
    </xf>
    <xf borderId="15" fillId="20" fontId="85" numFmtId="0" xfId="0" applyAlignment="1" applyBorder="1" applyFont="1">
      <alignment horizontal="center" readingOrder="0" vertical="center"/>
    </xf>
    <xf borderId="1" fillId="2" fontId="13" numFmtId="0" xfId="0" applyAlignment="1" applyBorder="1" applyFont="1">
      <alignment vertical="bottom"/>
    </xf>
    <xf borderId="16" fillId="28" fontId="81" numFmtId="0" xfId="0" applyAlignment="1" applyBorder="1" applyFont="1">
      <alignment vertical="center"/>
    </xf>
    <xf borderId="16" fillId="28" fontId="1" numFmtId="0" xfId="0" applyAlignment="1" applyBorder="1" applyFont="1">
      <alignment vertical="center"/>
    </xf>
    <xf borderId="149" fillId="2" fontId="13" numFmtId="0" xfId="0" applyAlignment="1" applyBorder="1" applyFont="1">
      <alignment vertical="bottom"/>
    </xf>
    <xf borderId="0" fillId="5" fontId="85" numFmtId="0" xfId="0" applyAlignment="1" applyFont="1">
      <alignment horizontal="center" readingOrder="0" shrinkToFit="0" vertical="center" wrapText="1"/>
    </xf>
    <xf borderId="0" fillId="5" fontId="26" numFmtId="0" xfId="0" applyAlignment="1" applyFont="1">
      <alignment horizontal="center" readingOrder="0"/>
    </xf>
    <xf borderId="18" fillId="6" fontId="64" numFmtId="167" xfId="0" applyAlignment="1" applyBorder="1" applyFont="1" applyNumberFormat="1">
      <alignment horizontal="center" readingOrder="0" vertical="center"/>
    </xf>
    <xf borderId="0" fillId="8" fontId="282" numFmtId="0" xfId="0" applyAlignment="1" applyFont="1">
      <alignment horizontal="center" readingOrder="0"/>
    </xf>
    <xf borderId="56" fillId="28" fontId="97" numFmtId="0" xfId="0" applyAlignment="1" applyBorder="1" applyFont="1">
      <alignment horizontal="left" readingOrder="0"/>
    </xf>
    <xf borderId="56" fillId="28" fontId="1" numFmtId="0" xfId="0" applyAlignment="1" applyBorder="1" applyFont="1">
      <alignment horizontal="left" readingOrder="0"/>
    </xf>
    <xf borderId="46" fillId="8" fontId="29" numFmtId="0" xfId="0" applyAlignment="1" applyBorder="1" applyFont="1">
      <alignment vertical="bottom"/>
    </xf>
    <xf borderId="46" fillId="2" fontId="1" numFmtId="0" xfId="0" applyAlignment="1" applyBorder="1" applyFont="1">
      <alignment horizontal="center" readingOrder="0"/>
    </xf>
    <xf borderId="39" fillId="5" fontId="97" numFmtId="0" xfId="0" applyAlignment="1" applyBorder="1" applyFont="1">
      <alignment horizontal="left" readingOrder="0"/>
    </xf>
    <xf borderId="39" fillId="0" fontId="3" numFmtId="0" xfId="0" applyBorder="1" applyFont="1"/>
    <xf borderId="149" fillId="0" fontId="3" numFmtId="0" xfId="0" applyBorder="1" applyFont="1"/>
    <xf borderId="56" fillId="8" fontId="29" numFmtId="0" xfId="0" applyAlignment="1" applyBorder="1" applyFont="1">
      <alignment horizontal="left" readingOrder="0"/>
    </xf>
    <xf borderId="57" fillId="8" fontId="1" numFmtId="0" xfId="0" applyAlignment="1" applyBorder="1" applyFont="1">
      <alignment horizontal="center" readingOrder="0"/>
    </xf>
    <xf borderId="150" fillId="10" fontId="264" numFmtId="0" xfId="0" applyAlignment="1" applyBorder="1" applyFont="1">
      <alignment horizontal="left" readingOrder="0"/>
    </xf>
    <xf borderId="150" fillId="0" fontId="3" numFmtId="0" xfId="0" applyBorder="1" applyFont="1"/>
    <xf borderId="151" fillId="0" fontId="3" numFmtId="0" xfId="0" applyBorder="1" applyFont="1"/>
    <xf borderId="105" fillId="2" fontId="13" numFmtId="0" xfId="0" applyAlignment="1" applyBorder="1" applyFont="1">
      <alignment vertical="bottom"/>
    </xf>
    <xf borderId="150" fillId="12" fontId="97" numFmtId="0" xfId="0" applyAlignment="1" applyBorder="1" applyFont="1">
      <alignment horizontal="left" readingOrder="0"/>
    </xf>
    <xf borderId="57" fillId="28" fontId="1" numFmtId="0" xfId="0" applyAlignment="1" applyBorder="1" applyFont="1">
      <alignment horizontal="center" readingOrder="0"/>
    </xf>
    <xf borderId="56" fillId="28" fontId="240" numFmtId="0" xfId="0" applyAlignment="1" applyBorder="1" applyFont="1">
      <alignment horizontal="left" readingOrder="0"/>
    </xf>
    <xf borderId="56" fillId="8" fontId="97" numFmtId="0" xfId="0" applyAlignment="1" applyBorder="1" applyFont="1">
      <alignment horizontal="left" readingOrder="0"/>
    </xf>
    <xf borderId="57" fillId="2" fontId="1" numFmtId="0" xfId="0" applyAlignment="1" applyBorder="1" applyFont="1">
      <alignment horizontal="center" readingOrder="0"/>
    </xf>
    <xf borderId="150" fillId="5" fontId="97" numFmtId="0" xfId="0" applyAlignment="1" applyBorder="1" applyFont="1">
      <alignment horizontal="left" readingOrder="0"/>
    </xf>
    <xf borderId="74" fillId="8" fontId="97" numFmtId="0" xfId="0" applyAlignment="1" applyBorder="1" applyFont="1">
      <alignment horizontal="left" readingOrder="0"/>
    </xf>
    <xf borderId="76" fillId="2" fontId="1" numFmtId="0" xfId="0" applyAlignment="1" applyBorder="1" applyFont="1">
      <alignment horizontal="center" readingOrder="0"/>
    </xf>
    <xf borderId="16" fillId="28" fontId="240" numFmtId="0" xfId="0" applyAlignment="1" applyBorder="1" applyFont="1">
      <alignment horizontal="left" readingOrder="0"/>
    </xf>
    <xf borderId="16" fillId="28" fontId="97" numFmtId="0" xfId="0" applyAlignment="1" applyBorder="1" applyFont="1">
      <alignment horizontal="left" readingOrder="0"/>
    </xf>
    <xf borderId="10" fillId="2" fontId="240" numFmtId="0" xfId="0" applyAlignment="1" applyBorder="1" applyFont="1">
      <alignment horizontal="left" readingOrder="0"/>
    </xf>
    <xf borderId="1" fillId="2" fontId="240" numFmtId="0" xfId="0" applyAlignment="1" applyBorder="1" applyFont="1">
      <alignment horizontal="left" readingOrder="0"/>
    </xf>
    <xf borderId="152" fillId="28" fontId="81" numFmtId="0" xfId="0" applyAlignment="1" applyBorder="1" applyFont="1">
      <alignment vertical="center"/>
    </xf>
    <xf borderId="152" fillId="0" fontId="3" numFmtId="0" xfId="0" applyBorder="1" applyFont="1"/>
    <xf borderId="153" fillId="0" fontId="3" numFmtId="0" xfId="0" applyBorder="1" applyFont="1"/>
    <xf borderId="42" fillId="28" fontId="81" numFmtId="0" xfId="0" applyAlignment="1" applyBorder="1" applyFont="1">
      <alignment vertical="center"/>
    </xf>
    <xf borderId="42" fillId="5" fontId="85" numFmtId="0" xfId="0" applyAlignment="1" applyBorder="1" applyFont="1">
      <alignment horizontal="center" readingOrder="0" vertical="center"/>
    </xf>
    <xf borderId="42" fillId="5" fontId="26" numFmtId="0" xfId="0" applyAlignment="1" applyBorder="1" applyFont="1">
      <alignment horizontal="center" readingOrder="0" vertical="bottom"/>
    </xf>
    <xf borderId="55" fillId="8" fontId="283" numFmtId="0" xfId="0" applyAlignment="1" applyBorder="1" applyFont="1">
      <alignment horizontal="center" readingOrder="0" vertical="center"/>
    </xf>
    <xf borderId="44" fillId="28" fontId="13" numFmtId="0" xfId="0" applyAlignment="1" applyBorder="1" applyFont="1">
      <alignment vertical="bottom"/>
    </xf>
    <xf borderId="61" fillId="28" fontId="13" numFmtId="0" xfId="0" applyAlignment="1" applyBorder="1" applyFont="1">
      <alignment vertical="bottom"/>
    </xf>
    <xf borderId="63" fillId="8" fontId="29" numFmtId="0" xfId="0" applyAlignment="1" applyBorder="1" applyFont="1">
      <alignment vertical="bottom"/>
    </xf>
    <xf borderId="46" fillId="4" fontId="1" numFmtId="0" xfId="0" applyAlignment="1" applyBorder="1" applyFont="1">
      <alignment horizontal="center" vertical="bottom"/>
    </xf>
    <xf borderId="55" fillId="8" fontId="29" numFmtId="0" xfId="0" applyAlignment="1" applyBorder="1" applyFont="1">
      <alignment horizontal="left" readingOrder="0" vertical="center"/>
    </xf>
    <xf borderId="59" fillId="9" fontId="1" numFmtId="0" xfId="0" applyAlignment="1" applyBorder="1" applyFont="1">
      <alignment horizontal="left" readingOrder="0"/>
    </xf>
    <xf borderId="55" fillId="28" fontId="13" numFmtId="0" xfId="0" applyBorder="1" applyFont="1"/>
    <xf borderId="69" fillId="8" fontId="97" numFmtId="0" xfId="0" applyAlignment="1" applyBorder="1" applyFont="1">
      <alignment readingOrder="0" vertical="bottom"/>
    </xf>
    <xf borderId="45" fillId="0" fontId="81" numFmtId="0" xfId="0" applyAlignment="1" applyBorder="1" applyFont="1">
      <alignment horizontal="center" readingOrder="0" vertical="bottom"/>
    </xf>
    <xf borderId="154" fillId="9" fontId="1" numFmtId="0" xfId="0" applyAlignment="1" applyBorder="1" applyFont="1">
      <alignment horizontal="left" readingOrder="0"/>
    </xf>
    <xf borderId="155" fillId="0" fontId="3" numFmtId="0" xfId="0" applyBorder="1" applyFont="1"/>
    <xf borderId="63" fillId="8" fontId="97" numFmtId="0" xfId="0" applyAlignment="1" applyBorder="1" applyFont="1">
      <alignment readingOrder="0"/>
    </xf>
    <xf borderId="45" fillId="0" fontId="81" numFmtId="0" xfId="0" applyAlignment="1" applyBorder="1" applyFont="1">
      <alignment horizontal="center" readingOrder="0"/>
    </xf>
    <xf borderId="154" fillId="5" fontId="97" numFmtId="0" xfId="0" applyAlignment="1" applyBorder="1" applyFont="1">
      <alignment horizontal="left" readingOrder="0"/>
    </xf>
    <xf borderId="63" fillId="8" fontId="97" numFmtId="0" xfId="0" applyAlignment="1" applyBorder="1" applyFont="1">
      <alignment readingOrder="0" vertical="bottom"/>
    </xf>
    <xf borderId="149" fillId="2" fontId="269" numFmtId="0" xfId="0" applyAlignment="1" applyBorder="1" applyFont="1">
      <alignment vertical="bottom"/>
    </xf>
    <xf borderId="5" fillId="2" fontId="269" numFmtId="0" xfId="0" applyAlignment="1" applyBorder="1" applyFont="1">
      <alignment vertical="bottom"/>
    </xf>
    <xf borderId="50" fillId="8" fontId="97" numFmtId="0" xfId="0" applyAlignment="1" applyBorder="1" applyFont="1">
      <alignment readingOrder="0"/>
    </xf>
    <xf borderId="0" fillId="0" fontId="81" numFmtId="0" xfId="0" applyAlignment="1" applyFont="1">
      <alignment horizontal="center" readingOrder="0" vertical="bottom"/>
    </xf>
    <xf borderId="59" fillId="5" fontId="97" numFmtId="0" xfId="0" applyAlignment="1" applyBorder="1" applyFont="1">
      <alignment horizontal="left" readingOrder="0"/>
    </xf>
    <xf borderId="156" fillId="0" fontId="3" numFmtId="0" xfId="0" applyBorder="1" applyFont="1"/>
    <xf borderId="59" fillId="4" fontId="284" numFmtId="0" xfId="0" applyAlignment="1" applyBorder="1" applyFont="1">
      <alignment readingOrder="0" vertical="bottom"/>
    </xf>
    <xf borderId="74" fillId="4" fontId="284" numFmtId="0" xfId="0" applyAlignment="1" applyBorder="1" applyFont="1">
      <alignment readingOrder="0" vertical="bottom"/>
    </xf>
    <xf borderId="10" fillId="2" fontId="13" numFmtId="0" xfId="0" applyAlignment="1" applyBorder="1" applyFont="1">
      <alignment vertical="bottom"/>
    </xf>
    <xf borderId="17" fillId="28" fontId="81" numFmtId="0" xfId="0" applyAlignment="1" applyBorder="1" applyFont="1">
      <alignment vertical="center"/>
    </xf>
    <xf borderId="42" fillId="9" fontId="86" numFmtId="0" xfId="0" applyAlignment="1" applyBorder="1" applyFont="1">
      <alignment horizontal="center" readingOrder="0" vertical="center"/>
    </xf>
    <xf borderId="42" fillId="9" fontId="19" numFmtId="0" xfId="0" applyAlignment="1" applyBorder="1" applyFont="1">
      <alignment horizontal="center" readingOrder="0" vertical="bottom"/>
    </xf>
    <xf borderId="55" fillId="9" fontId="1" numFmtId="0" xfId="0" applyAlignment="1" applyBorder="1" applyFont="1">
      <alignment horizontal="left" readingOrder="0"/>
    </xf>
    <xf borderId="55" fillId="10" fontId="264" numFmtId="0" xfId="0" applyAlignment="1" applyBorder="1" applyFont="1">
      <alignment horizontal="left" readingOrder="0"/>
    </xf>
    <xf borderId="149" fillId="2" fontId="240" numFmtId="0" xfId="0" applyAlignment="1" applyBorder="1" applyFont="1">
      <alignment horizontal="left" readingOrder="0"/>
    </xf>
    <xf borderId="55" fillId="42" fontId="285" numFmtId="0" xfId="0" applyAlignment="1" applyBorder="1" applyFont="1">
      <alignment readingOrder="0" vertical="bottom"/>
    </xf>
    <xf borderId="5" fillId="2" fontId="240" numFmtId="0" xfId="0" applyAlignment="1" applyBorder="1" applyFont="1">
      <alignment horizontal="left" readingOrder="0"/>
    </xf>
    <xf borderId="44" fillId="28" fontId="13" numFmtId="0" xfId="0" applyBorder="1" applyFont="1"/>
    <xf borderId="56" fillId="28" fontId="13" numFmtId="0" xfId="0" applyBorder="1" applyFont="1"/>
    <xf borderId="45" fillId="28" fontId="13" numFmtId="0" xfId="0" applyBorder="1" applyFont="1"/>
    <xf borderId="58" fillId="28" fontId="13" numFmtId="0" xfId="0" applyBorder="1" applyFont="1"/>
    <xf borderId="69" fillId="10" fontId="264" numFmtId="0" xfId="0" applyAlignment="1" applyBorder="1" applyFont="1">
      <alignment horizontal="left" readingOrder="0"/>
    </xf>
    <xf borderId="73" fillId="28" fontId="81" numFmtId="0" xfId="0" applyAlignment="1" applyBorder="1" applyFont="1">
      <alignment vertical="center"/>
    </xf>
    <xf borderId="42" fillId="42" fontId="286" numFmtId="0" xfId="0" applyAlignment="1" applyBorder="1" applyFont="1">
      <alignment horizontal="center" readingOrder="0" vertical="center"/>
    </xf>
    <xf borderId="42" fillId="42" fontId="287" numFmtId="0" xfId="0" applyAlignment="1" applyBorder="1" applyFont="1">
      <alignment horizontal="center" readingOrder="0" vertical="bottom"/>
    </xf>
    <xf borderId="39" fillId="42" fontId="285" numFmtId="0" xfId="0" applyAlignment="1" applyBorder="1" applyFont="1">
      <alignment horizontal="left" readingOrder="0"/>
    </xf>
    <xf borderId="38" fillId="11" fontId="97" numFmtId="0" xfId="0" applyAlignment="1" applyBorder="1" applyFont="1">
      <alignment horizontal="left" readingOrder="0"/>
    </xf>
    <xf borderId="126" fillId="0" fontId="3" numFmtId="0" xfId="0" applyBorder="1" applyFont="1"/>
    <xf borderId="39" fillId="2" fontId="13" numFmtId="0" xfId="0" applyAlignment="1" applyBorder="1" applyFont="1">
      <alignment horizontal="center" readingOrder="0" vertical="center"/>
    </xf>
    <xf borderId="14" fillId="34" fontId="1" numFmtId="0" xfId="0" applyAlignment="1" applyBorder="1" applyFont="1">
      <alignment horizontal="left" readingOrder="0"/>
    </xf>
    <xf borderId="14" fillId="0" fontId="3" numFmtId="0" xfId="0" applyBorder="1" applyFont="1"/>
    <xf borderId="36" fillId="0" fontId="3" numFmtId="0" xfId="0" applyBorder="1" applyFont="1"/>
    <xf borderId="74" fillId="28" fontId="13" numFmtId="0" xfId="0" applyBorder="1" applyFont="1"/>
    <xf borderId="38" fillId="42" fontId="285" numFmtId="0" xfId="0" applyAlignment="1" applyBorder="1" applyFont="1">
      <alignment horizontal="left" readingOrder="0"/>
    </xf>
    <xf borderId="157" fillId="42" fontId="285" numFmtId="0" xfId="0" applyAlignment="1" applyBorder="1" applyFont="1">
      <alignment horizontal="center" readingOrder="0"/>
    </xf>
    <xf borderId="158" fillId="42" fontId="285" numFmtId="0" xfId="0" applyAlignment="1" applyBorder="1" applyFont="1">
      <alignment horizontal="left" readingOrder="0"/>
    </xf>
    <xf borderId="14" fillId="42" fontId="285" numFmtId="0" xfId="0" applyAlignment="1" applyBorder="1" applyFont="1">
      <alignment horizontal="left" readingOrder="0"/>
    </xf>
    <xf borderId="5" fillId="0" fontId="3" numFmtId="0" xfId="0" applyBorder="1" applyFont="1"/>
    <xf borderId="159" fillId="42" fontId="285" numFmtId="0" xfId="0" applyAlignment="1" applyBorder="1" applyFont="1">
      <alignment readingOrder="0" vertical="bottom"/>
    </xf>
    <xf borderId="14" fillId="11" fontId="97" numFmtId="0" xfId="0" applyAlignment="1" applyBorder="1" applyFont="1">
      <alignment horizontal="left" readingOrder="0"/>
    </xf>
    <xf borderId="63" fillId="8" fontId="9" numFmtId="0" xfId="0" applyAlignment="1" applyBorder="1" applyFont="1">
      <alignment readingOrder="0" vertical="bottom"/>
    </xf>
    <xf borderId="41" fillId="11" fontId="97" numFmtId="0" xfId="0" applyAlignment="1" applyBorder="1" applyFont="1">
      <alignment readingOrder="0" vertical="bottom"/>
    </xf>
    <xf borderId="63" fillId="8" fontId="9" numFmtId="0" xfId="0" applyAlignment="1" applyBorder="1" applyFont="1">
      <alignment readingOrder="0"/>
    </xf>
    <xf borderId="41" fillId="2" fontId="13" numFmtId="0" xfId="0" applyAlignment="1" applyBorder="1" applyFont="1">
      <alignment horizontal="center" readingOrder="0" vertical="center"/>
    </xf>
    <xf borderId="25" fillId="28" fontId="81" numFmtId="0" xfId="0" applyAlignment="1" applyBorder="1" applyFont="1">
      <alignment vertical="center"/>
    </xf>
    <xf borderId="42" fillId="7" fontId="87" numFmtId="0" xfId="0" applyAlignment="1" applyBorder="1" applyFont="1">
      <alignment horizontal="center" readingOrder="0" vertical="center"/>
    </xf>
    <xf borderId="42" fillId="7" fontId="250" numFmtId="0" xfId="0" applyAlignment="1" applyBorder="1" applyFont="1">
      <alignment horizontal="center" readingOrder="0" vertical="bottom"/>
    </xf>
    <xf borderId="55" fillId="8" fontId="288" numFmtId="0" xfId="0" applyAlignment="1" applyBorder="1" applyFont="1">
      <alignment horizontal="center" vertical="center"/>
    </xf>
    <xf borderId="39" fillId="7" fontId="105" numFmtId="0" xfId="0" applyAlignment="1" applyBorder="1" applyFont="1">
      <alignment readingOrder="0" vertical="bottom"/>
    </xf>
    <xf borderId="160" fillId="34" fontId="81" numFmtId="0" xfId="0" applyAlignment="1" applyBorder="1" applyFont="1">
      <alignment horizontal="left" readingOrder="0" vertical="center"/>
    </xf>
    <xf borderId="160" fillId="40" fontId="10" numFmtId="0" xfId="0" applyAlignment="1" applyBorder="1" applyFont="1">
      <alignment horizontal="left" readingOrder="0" vertical="center"/>
    </xf>
    <xf borderId="0" fillId="36" fontId="113" numFmtId="0" xfId="0" applyAlignment="1" applyFont="1">
      <alignment horizontal="left" readingOrder="0" vertical="center"/>
    </xf>
    <xf borderId="0" fillId="4" fontId="289" numFmtId="0" xfId="0" applyAlignment="1" applyFont="1">
      <alignment horizontal="center" readingOrder="0" vertical="center"/>
    </xf>
    <xf borderId="74" fillId="28" fontId="13" numFmtId="168" xfId="0" applyBorder="1" applyFont="1" applyNumberFormat="1"/>
    <xf borderId="112" fillId="28" fontId="13" numFmtId="168" xfId="0" applyBorder="1" applyFont="1" applyNumberFormat="1"/>
    <xf borderId="63" fillId="8" fontId="97" numFmtId="0" xfId="0" applyAlignment="1" applyBorder="1" applyFont="1">
      <alignment vertical="bottom"/>
    </xf>
    <xf borderId="45" fillId="0" fontId="81" numFmtId="0" xfId="0" applyAlignment="1" applyBorder="1" applyFont="1">
      <alignment horizontal="center" vertical="bottom"/>
    </xf>
    <xf borderId="59" fillId="7" fontId="105" numFmtId="0" xfId="0" applyAlignment="1" applyBorder="1" applyFont="1">
      <alignment readingOrder="0" vertical="bottom"/>
    </xf>
    <xf borderId="63" fillId="8" fontId="97" numFmtId="0" xfId="0" applyBorder="1" applyFont="1"/>
    <xf borderId="45" fillId="0" fontId="81" numFmtId="0" xfId="0" applyAlignment="1" applyBorder="1" applyFont="1">
      <alignment horizontal="center"/>
    </xf>
    <xf borderId="0" fillId="34" fontId="81" numFmtId="0" xfId="0" applyAlignment="1" applyFont="1">
      <alignment horizontal="left" readingOrder="0" vertical="center"/>
    </xf>
    <xf borderId="0" fillId="7" fontId="105" numFmtId="0" xfId="0" applyAlignment="1" applyFont="1">
      <alignment readingOrder="0" vertical="bottom"/>
    </xf>
    <xf borderId="0" fillId="40" fontId="10" numFmtId="0" xfId="0" applyAlignment="1" applyFont="1">
      <alignment horizontal="left" readingOrder="0" vertical="center"/>
    </xf>
    <xf borderId="59" fillId="0" fontId="81" numFmtId="0" xfId="0" applyAlignment="1" applyBorder="1" applyFont="1">
      <alignment horizontal="center" readingOrder="0" vertical="center"/>
    </xf>
    <xf borderId="89" fillId="7" fontId="105" numFmtId="0" xfId="0" applyAlignment="1" applyBorder="1" applyFont="1">
      <alignment readingOrder="0" vertical="bottom"/>
    </xf>
    <xf borderId="71" fillId="8" fontId="97" numFmtId="0" xfId="0" applyAlignment="1" applyBorder="1" applyFont="1">
      <alignment readingOrder="0" vertical="bottom"/>
    </xf>
    <xf borderId="160" fillId="4" fontId="289" numFmtId="0" xfId="0" applyAlignment="1" applyBorder="1" applyFont="1">
      <alignment horizontal="center" readingOrder="0" vertical="center"/>
    </xf>
    <xf borderId="160" fillId="36" fontId="113" numFmtId="0" xfId="0" applyAlignment="1" applyBorder="1" applyFont="1">
      <alignment horizontal="left" readingOrder="0" vertical="center"/>
    </xf>
    <xf borderId="42" fillId="34" fontId="86" numFmtId="0" xfId="0" applyAlignment="1" applyBorder="1" applyFont="1">
      <alignment horizontal="center" readingOrder="0" vertical="center"/>
    </xf>
    <xf borderId="42" fillId="34" fontId="19" numFmtId="0" xfId="0" applyAlignment="1" applyBorder="1" applyFont="1">
      <alignment horizontal="center" readingOrder="0"/>
    </xf>
    <xf borderId="18" fillId="6" fontId="64" numFmtId="168" xfId="0" applyAlignment="1" applyBorder="1" applyFont="1" applyNumberFormat="1">
      <alignment horizontal="center" readingOrder="0" vertical="center"/>
    </xf>
    <xf borderId="5" fillId="2" fontId="13" numFmtId="0" xfId="0" applyAlignment="1" applyBorder="1" applyFont="1">
      <alignment vertical="bottom"/>
    </xf>
    <xf borderId="55" fillId="8" fontId="290" numFmtId="0" xfId="0" applyAlignment="1" applyBorder="1" applyFont="1">
      <alignment horizontal="center" readingOrder="0" vertical="top"/>
    </xf>
    <xf borderId="61" fillId="28" fontId="13" numFmtId="0" xfId="0" applyBorder="1" applyFont="1"/>
    <xf borderId="63" fillId="8" fontId="29" numFmtId="0" xfId="0" applyBorder="1" applyFont="1"/>
    <xf borderId="46" fillId="4" fontId="1" numFmtId="0" xfId="0" applyAlignment="1" applyBorder="1" applyFont="1">
      <alignment horizontal="center"/>
    </xf>
    <xf borderId="44" fillId="8" fontId="29" numFmtId="0" xfId="0" applyBorder="1" applyFont="1"/>
    <xf borderId="0" fillId="38" fontId="1" numFmtId="0" xfId="0" applyAlignment="1" applyFont="1">
      <alignment readingOrder="0"/>
    </xf>
    <xf borderId="55" fillId="28" fontId="13" numFmtId="0" xfId="0" applyAlignment="1" applyBorder="1" applyFont="1">
      <alignment horizontal="center" readingOrder="0" vertical="center"/>
    </xf>
    <xf borderId="56" fillId="28" fontId="13" numFmtId="0" xfId="0" applyAlignment="1" applyBorder="1" applyFont="1">
      <alignment horizontal="center" readingOrder="0" vertical="center"/>
    </xf>
    <xf borderId="56" fillId="28" fontId="13" numFmtId="168" xfId="0" applyBorder="1" applyFont="1" applyNumberFormat="1"/>
    <xf borderId="46" fillId="0" fontId="81" numFmtId="0" xfId="0" applyAlignment="1" applyBorder="1" applyFont="1">
      <alignment horizontal="center"/>
    </xf>
    <xf borderId="59" fillId="38" fontId="1" numFmtId="0" xfId="0" applyAlignment="1" applyBorder="1" applyFont="1">
      <alignment readingOrder="0"/>
    </xf>
    <xf borderId="69" fillId="8" fontId="10" numFmtId="0" xfId="0" applyAlignment="1" applyBorder="1" applyFont="1">
      <alignment horizontal="left" readingOrder="0" vertical="center"/>
    </xf>
    <xf borderId="69" fillId="0" fontId="65" numFmtId="0" xfId="0" applyAlignment="1" applyBorder="1" applyFont="1">
      <alignment horizontal="center" readingOrder="0" vertical="center"/>
    </xf>
    <xf borderId="53" fillId="38" fontId="1" numFmtId="0" xfId="0" applyAlignment="1" applyBorder="1" applyFont="1">
      <alignment readingOrder="0"/>
    </xf>
    <xf borderId="0" fillId="34" fontId="1" numFmtId="0" xfId="0" applyAlignment="1" applyFont="1">
      <alignment readingOrder="0" vertical="bottom"/>
    </xf>
    <xf borderId="46" fillId="0" fontId="81" numFmtId="0" xfId="0" applyAlignment="1" applyBorder="1" applyFont="1">
      <alignment horizontal="center" readingOrder="0"/>
    </xf>
    <xf borderId="160" fillId="38" fontId="81" numFmtId="0" xfId="0" applyAlignment="1" applyBorder="1" applyFont="1">
      <alignment horizontal="left" readingOrder="0" vertical="center"/>
    </xf>
    <xf borderId="42" fillId="34" fontId="19" numFmtId="0" xfId="0" applyAlignment="1" applyBorder="1" applyFont="1">
      <alignment horizontal="center" readingOrder="0" vertical="center"/>
    </xf>
    <xf borderId="74" fillId="8" fontId="291" numFmtId="0" xfId="0" applyAlignment="1" applyBorder="1" applyFont="1">
      <alignment horizontal="center" readingOrder="0" vertical="top"/>
    </xf>
    <xf borderId="69" fillId="8" fontId="29" numFmtId="0" xfId="0" applyAlignment="1" applyBorder="1" applyFont="1">
      <alignment horizontal="left" readingOrder="0" vertical="center"/>
    </xf>
    <xf borderId="69" fillId="4" fontId="88" numFmtId="0" xfId="0" applyAlignment="1" applyBorder="1" applyFont="1">
      <alignment horizontal="center" readingOrder="0" vertical="center"/>
    </xf>
    <xf borderId="53" fillId="7" fontId="105" numFmtId="0" xfId="0" applyAlignment="1" applyBorder="1" applyFont="1">
      <alignment readingOrder="0" vertical="center"/>
    </xf>
    <xf borderId="75" fillId="8" fontId="10" numFmtId="0" xfId="0" applyAlignment="1" applyBorder="1" applyFont="1">
      <alignment horizontal="left" readingOrder="0" vertical="center"/>
    </xf>
    <xf borderId="75" fillId="0" fontId="65" numFmtId="0" xfId="0" applyAlignment="1" applyBorder="1" applyFont="1">
      <alignment horizontal="center" readingOrder="0" vertical="center"/>
    </xf>
    <xf borderId="0" fillId="42" fontId="97" numFmtId="0" xfId="0" applyAlignment="1" applyFont="1">
      <alignment horizontal="left" readingOrder="0" vertical="center"/>
    </xf>
    <xf borderId="82" fillId="42" fontId="97" numFmtId="0" xfId="0" applyAlignment="1" applyBorder="1" applyFont="1">
      <alignment horizontal="left" readingOrder="0" vertical="center"/>
    </xf>
    <xf borderId="0" fillId="35" fontId="81" numFmtId="0" xfId="0" applyAlignment="1" applyFont="1">
      <alignment horizontal="left" readingOrder="0" vertical="center"/>
    </xf>
    <xf borderId="55" fillId="28" fontId="13" numFmtId="0" xfId="0" applyAlignment="1" applyBorder="1" applyFont="1">
      <alignment horizontal="left" vertical="center"/>
    </xf>
    <xf borderId="56" fillId="28" fontId="13" numFmtId="0" xfId="0" applyAlignment="1" applyBorder="1" applyFont="1">
      <alignment horizontal="center" vertical="center"/>
    </xf>
    <xf borderId="56" fillId="28" fontId="81" numFmtId="0" xfId="0" applyAlignment="1" applyBorder="1" applyFont="1">
      <alignment horizontal="left" vertical="center"/>
    </xf>
    <xf borderId="56" fillId="28" fontId="81" numFmtId="0" xfId="0" applyAlignment="1" applyBorder="1" applyFont="1">
      <alignment vertical="center"/>
    </xf>
    <xf borderId="58" fillId="28" fontId="81" numFmtId="0" xfId="0" applyAlignment="1" applyBorder="1" applyFont="1">
      <alignment vertical="center"/>
    </xf>
    <xf borderId="0" fillId="38" fontId="292" numFmtId="0" xfId="0" applyAlignment="1" applyFont="1">
      <alignment horizontal="left" readingOrder="0" vertical="center"/>
    </xf>
    <xf borderId="42" fillId="38" fontId="85" numFmtId="0" xfId="0" applyAlignment="1" applyBorder="1" applyFont="1">
      <alignment horizontal="center" readingOrder="0" vertical="center"/>
    </xf>
    <xf borderId="42" fillId="38" fontId="26" numFmtId="0" xfId="0" applyAlignment="1" applyBorder="1" applyFont="1">
      <alignment horizontal="center" readingOrder="0" vertical="center"/>
    </xf>
    <xf borderId="0" fillId="38" fontId="97" numFmtId="0" xfId="0" applyAlignment="1" applyFont="1">
      <alignment readingOrder="0" vertical="center"/>
    </xf>
    <xf borderId="0" fillId="51" fontId="97" numFmtId="0" xfId="0" applyAlignment="1" applyFont="1">
      <alignment readingOrder="0" vertical="center"/>
    </xf>
    <xf borderId="0" fillId="7" fontId="105" numFmtId="0" xfId="0" applyAlignment="1" applyFont="1">
      <alignment readingOrder="0" vertical="center"/>
    </xf>
    <xf borderId="53" fillId="11" fontId="81" numFmtId="0" xfId="0" applyAlignment="1" applyBorder="1" applyFont="1">
      <alignment readingOrder="0" vertical="center"/>
    </xf>
    <xf borderId="53" fillId="11" fontId="1" numFmtId="0" xfId="0" applyAlignment="1" applyBorder="1" applyFont="1">
      <alignment readingOrder="0" vertical="center"/>
    </xf>
    <xf borderId="82" fillId="38" fontId="97" numFmtId="0" xfId="0" applyAlignment="1" applyBorder="1" applyFont="1">
      <alignment horizontal="left" readingOrder="0" vertical="center"/>
    </xf>
    <xf borderId="89" fillId="7" fontId="105" numFmtId="0" xfId="0" applyAlignment="1" applyBorder="1" applyFont="1">
      <alignment readingOrder="0" vertical="center"/>
    </xf>
    <xf borderId="52" fillId="28" fontId="13" numFmtId="0" xfId="0" applyBorder="1" applyFont="1"/>
    <xf borderId="16" fillId="28" fontId="13" numFmtId="0" xfId="0" applyBorder="1" applyFont="1"/>
    <xf borderId="17" fillId="28" fontId="13" numFmtId="0" xfId="0" applyBorder="1" applyFont="1"/>
    <xf borderId="21" fillId="2" fontId="293" numFmtId="0" xfId="0" applyAlignment="1" applyBorder="1" applyFont="1">
      <alignment horizontal="center" readingOrder="0" vertical="center"/>
    </xf>
    <xf borderId="38" fillId="0" fontId="3" numFmtId="0" xfId="0" applyBorder="1" applyFont="1"/>
    <xf borderId="161" fillId="8" fontId="206" numFmtId="0" xfId="0" applyAlignment="1" applyBorder="1" applyFont="1">
      <alignment horizontal="center" shrinkToFit="0" vertical="center" wrapText="0"/>
    </xf>
    <xf borderId="162" fillId="0" fontId="3" numFmtId="0" xfId="0" applyBorder="1" applyFont="1"/>
    <xf borderId="163" fillId="8" fontId="206" numFmtId="0" xfId="0" applyAlignment="1" applyBorder="1" applyFont="1">
      <alignment horizontal="center" shrinkToFit="0" vertical="center" wrapText="0"/>
    </xf>
    <xf borderId="164" fillId="0" fontId="3" numFmtId="0" xfId="0" applyBorder="1" applyFont="1"/>
    <xf borderId="165" fillId="8" fontId="206" numFmtId="0" xfId="0" applyAlignment="1" applyBorder="1" applyFont="1">
      <alignment horizontal="center" shrinkToFit="0" vertical="center" wrapText="0"/>
    </xf>
    <xf borderId="161" fillId="8" fontId="206" numFmtId="0" xfId="0" applyAlignment="1" applyBorder="1" applyFont="1">
      <alignment horizontal="center" shrinkToFit="0" vertical="center" wrapText="1"/>
    </xf>
    <xf borderId="166" fillId="8" fontId="206" numFmtId="0" xfId="0" applyAlignment="1" applyBorder="1" applyFont="1">
      <alignment horizontal="center" shrinkToFit="0" vertical="center" wrapText="0"/>
    </xf>
    <xf borderId="162" fillId="8" fontId="206" numFmtId="0" xfId="0" applyAlignment="1" applyBorder="1" applyFont="1">
      <alignment horizontal="center" shrinkToFit="0" vertical="center" wrapText="1"/>
    </xf>
    <xf borderId="163" fillId="8" fontId="206" numFmtId="0" xfId="0" applyAlignment="1" applyBorder="1" applyFont="1">
      <alignment horizontal="center" shrinkToFit="0" vertical="center" wrapText="1"/>
    </xf>
    <xf borderId="167" fillId="0" fontId="3" numFmtId="0" xfId="0" applyBorder="1" applyFont="1"/>
    <xf borderId="168" fillId="6" fontId="294" numFmtId="0" xfId="0" applyAlignment="1" applyBorder="1" applyFont="1">
      <alignment horizontal="center" readingOrder="0" shrinkToFit="0" vertical="bottom" wrapText="1"/>
    </xf>
    <xf borderId="169" fillId="0" fontId="3" numFmtId="0" xfId="0" applyBorder="1" applyFont="1"/>
    <xf borderId="170" fillId="6" fontId="294" numFmtId="0" xfId="0" applyAlignment="1" applyBorder="1" applyFont="1">
      <alignment horizontal="center" shrinkToFit="0" vertical="center" wrapText="0"/>
    </xf>
    <xf borderId="171" fillId="6" fontId="294" numFmtId="0" xfId="0" applyAlignment="1" applyBorder="1" applyFont="1">
      <alignment horizontal="center" shrinkToFit="0" vertical="center" wrapText="0"/>
    </xf>
    <xf borderId="172" fillId="6" fontId="294" numFmtId="0" xfId="0" applyAlignment="1" applyBorder="1" applyFont="1">
      <alignment horizontal="center" shrinkToFit="0" vertical="center" wrapText="0"/>
    </xf>
    <xf borderId="173" fillId="6" fontId="294" numFmtId="0" xfId="0" applyAlignment="1" applyBorder="1" applyFont="1">
      <alignment horizontal="center" shrinkToFit="0" vertical="center" wrapText="0"/>
    </xf>
    <xf borderId="174" fillId="6" fontId="294" numFmtId="0" xfId="0" applyAlignment="1" applyBorder="1" applyFont="1">
      <alignment horizontal="center" shrinkToFit="0" vertical="center" wrapText="0"/>
    </xf>
    <xf borderId="169" fillId="6" fontId="294" numFmtId="0" xfId="0" applyAlignment="1" applyBorder="1" applyFont="1">
      <alignment horizontal="center" shrinkToFit="0" vertical="center" wrapText="0"/>
    </xf>
    <xf borderId="175" fillId="6" fontId="294" numFmtId="0" xfId="0" applyAlignment="1" applyBorder="1" applyFont="1">
      <alignment horizontal="center" shrinkToFit="0" vertical="center" wrapText="0"/>
    </xf>
    <xf borderId="129" fillId="6" fontId="294" numFmtId="0" xfId="0" applyAlignment="1" applyBorder="1" applyFont="1">
      <alignment horizontal="center" readingOrder="0" shrinkToFit="0" textRotation="1" vertical="center" wrapText="0"/>
    </xf>
    <xf borderId="176" fillId="8" fontId="206" numFmtId="0" xfId="0" applyAlignment="1" applyBorder="1" applyFont="1">
      <alignment horizontal="center" shrinkToFit="0" vertical="center" wrapText="0"/>
    </xf>
    <xf borderId="129" fillId="0" fontId="295" numFmtId="0" xfId="0" applyAlignment="1" applyBorder="1" applyFont="1">
      <alignment horizontal="center" readingOrder="0" shrinkToFit="0" vertical="bottom" wrapText="0"/>
    </xf>
    <xf borderId="177" fillId="4" fontId="295" numFmtId="0" xfId="0" applyAlignment="1" applyBorder="1" applyFont="1">
      <alignment horizontal="center" readingOrder="0" shrinkToFit="0" vertical="bottom" wrapText="0"/>
    </xf>
    <xf borderId="178" fillId="66" fontId="206" numFmtId="0" xfId="0" applyAlignment="1" applyBorder="1" applyFill="1" applyFont="1">
      <alignment horizontal="center" shrinkToFit="0" vertical="bottom" wrapText="0"/>
    </xf>
    <xf borderId="179" fillId="0" fontId="3" numFmtId="0" xfId="0" applyBorder="1" applyFont="1"/>
    <xf borderId="180" fillId="0" fontId="3" numFmtId="0" xfId="0" applyBorder="1" applyFont="1"/>
    <xf borderId="181" fillId="4" fontId="295" numFmtId="0" xfId="0" applyAlignment="1" applyBorder="1" applyFont="1">
      <alignment horizontal="center" readingOrder="0" shrinkToFit="0" vertical="bottom" wrapText="0"/>
    </xf>
    <xf borderId="182" fillId="2" fontId="295" numFmtId="0" xfId="0" applyAlignment="1" applyBorder="1" applyFont="1">
      <alignment horizontal="center" shrinkToFit="0" vertical="bottom" wrapText="0"/>
    </xf>
    <xf borderId="183" fillId="4" fontId="295" numFmtId="0" xfId="0" applyAlignment="1" applyBorder="1" applyFont="1">
      <alignment horizontal="center" readingOrder="0" shrinkToFit="0" vertical="bottom" wrapText="0"/>
    </xf>
    <xf borderId="184" fillId="4" fontId="295" numFmtId="0" xfId="0" applyAlignment="1" applyBorder="1" applyFont="1">
      <alignment horizontal="center" readingOrder="0" shrinkToFit="0" vertical="bottom" wrapText="0"/>
    </xf>
    <xf borderId="129" fillId="4" fontId="295" numFmtId="0" xfId="0" applyAlignment="1" applyBorder="1" applyFont="1">
      <alignment horizontal="center" readingOrder="0" shrinkToFit="0" vertical="bottom" wrapText="0"/>
    </xf>
    <xf borderId="185" fillId="4" fontId="295" numFmtId="0" xfId="0" applyAlignment="1" applyBorder="1" applyFont="1">
      <alignment horizontal="center" readingOrder="0" shrinkToFit="0" vertical="bottom" wrapText="0"/>
    </xf>
    <xf borderId="186" fillId="2" fontId="295" numFmtId="0" xfId="0" applyAlignment="1" applyBorder="1" applyFont="1">
      <alignment horizontal="center" shrinkToFit="0" vertical="bottom" wrapText="0"/>
    </xf>
    <xf borderId="0" fillId="5" fontId="26" numFmtId="0" xfId="0" applyAlignment="1" applyFont="1">
      <alignment horizontal="center"/>
    </xf>
    <xf borderId="0" fillId="0" fontId="295" numFmtId="0" xfId="0" applyAlignment="1" applyFont="1">
      <alignment horizontal="center" readingOrder="0" shrinkToFit="0" vertical="bottom" wrapText="0"/>
    </xf>
    <xf borderId="187" fillId="4" fontId="295" numFmtId="0" xfId="0" applyAlignment="1" applyBorder="1" applyFont="1">
      <alignment horizontal="center" readingOrder="0" shrinkToFit="0" vertical="bottom" wrapText="0"/>
    </xf>
    <xf borderId="165" fillId="4" fontId="295" numFmtId="0" xfId="0" applyAlignment="1" applyBorder="1" applyFont="1">
      <alignment horizontal="center" readingOrder="0" shrinkToFit="0" vertical="bottom" wrapText="0"/>
    </xf>
    <xf borderId="165" fillId="2" fontId="295" numFmtId="0" xfId="0" applyAlignment="1" applyBorder="1" applyFont="1">
      <alignment horizontal="center" shrinkToFit="0" vertical="bottom" wrapText="0"/>
    </xf>
    <xf borderId="188" fillId="4" fontId="295" numFmtId="0" xfId="0" applyAlignment="1" applyBorder="1" applyFont="1">
      <alignment horizontal="center" readingOrder="0" shrinkToFit="0" vertical="bottom" wrapText="0"/>
    </xf>
    <xf borderId="189" fillId="4" fontId="295" numFmtId="0" xfId="0" applyAlignment="1" applyBorder="1" applyFont="1">
      <alignment horizontal="center" readingOrder="0" shrinkToFit="0" vertical="bottom" wrapText="0"/>
    </xf>
    <xf borderId="190" fillId="66" fontId="206" numFmtId="0" xfId="0" applyAlignment="1" applyBorder="1" applyFont="1">
      <alignment horizontal="center" shrinkToFit="0" vertical="bottom" wrapText="0"/>
    </xf>
    <xf borderId="104" fillId="4" fontId="295" numFmtId="0" xfId="0" applyAlignment="1" applyBorder="1" applyFont="1">
      <alignment horizontal="center" readingOrder="0" shrinkToFit="0" vertical="bottom" wrapText="0"/>
    </xf>
    <xf borderId="191" fillId="2" fontId="295" numFmtId="0" xfId="0" applyAlignment="1" applyBorder="1" applyFont="1">
      <alignment horizontal="center" shrinkToFit="0" vertical="bottom" wrapText="0"/>
    </xf>
    <xf borderId="0" fillId="9" fontId="19" numFmtId="0" xfId="0" applyAlignment="1" applyFont="1">
      <alignment horizontal="center"/>
    </xf>
    <xf borderId="192" fillId="0" fontId="295" numFmtId="0" xfId="0" applyAlignment="1" applyBorder="1" applyFont="1">
      <alignment horizontal="center" readingOrder="0" shrinkToFit="0" vertical="bottom" wrapText="0"/>
    </xf>
    <xf borderId="193" fillId="4" fontId="295" numFmtId="0" xfId="0" applyAlignment="1" applyBorder="1" applyFont="1">
      <alignment horizontal="center" readingOrder="0" shrinkToFit="0" vertical="bottom" wrapText="0"/>
    </xf>
    <xf borderId="194" fillId="4" fontId="295" numFmtId="0" xfId="0" applyAlignment="1" applyBorder="1" applyFont="1">
      <alignment horizontal="center" readingOrder="0" shrinkToFit="0" vertical="bottom" wrapText="0"/>
    </xf>
    <xf borderId="194" fillId="2" fontId="295" numFmtId="0" xfId="0" applyAlignment="1" applyBorder="1" applyFont="1">
      <alignment horizontal="center" shrinkToFit="0" vertical="bottom" wrapText="0"/>
    </xf>
    <xf borderId="195" fillId="4" fontId="295" numFmtId="0" xfId="0" applyAlignment="1" applyBorder="1" applyFont="1">
      <alignment horizontal="center" readingOrder="0" shrinkToFit="0" vertical="bottom" wrapText="0"/>
    </xf>
    <xf borderId="196" fillId="4" fontId="295" numFmtId="0" xfId="0" applyAlignment="1" applyBorder="1" applyFont="1">
      <alignment horizontal="center" readingOrder="0" shrinkToFit="0" vertical="bottom" wrapText="0"/>
    </xf>
    <xf borderId="197" fillId="66" fontId="206" numFmtId="0" xfId="0" applyAlignment="1" applyBorder="1" applyFont="1">
      <alignment horizontal="center" shrinkToFit="0" vertical="bottom" wrapText="0"/>
    </xf>
    <xf borderId="198" fillId="4" fontId="295" numFmtId="0" xfId="0" applyAlignment="1" applyBorder="1" applyFont="1">
      <alignment horizontal="center" readingOrder="0" shrinkToFit="0" vertical="bottom" wrapText="0"/>
    </xf>
    <xf borderId="199" fillId="2" fontId="295" numFmtId="0" xfId="0" applyAlignment="1" applyBorder="1" applyFont="1">
      <alignment horizontal="center" shrinkToFit="0" vertical="bottom" wrapText="0"/>
    </xf>
    <xf borderId="165" fillId="7" fontId="22" numFmtId="0" xfId="0" applyAlignment="1" applyBorder="1" applyFont="1">
      <alignment horizontal="center" shrinkToFit="0" vertical="bottom" wrapText="0"/>
    </xf>
    <xf borderId="200" fillId="4" fontId="295" numFmtId="0" xfId="0" applyAlignment="1" applyBorder="1" applyFont="1">
      <alignment horizontal="center" readingOrder="0" shrinkToFit="0" vertical="bottom" wrapText="0"/>
    </xf>
    <xf borderId="200" fillId="2" fontId="295" numFmtId="0" xfId="0" applyAlignment="1" applyBorder="1" applyFont="1">
      <alignment horizontal="center" shrinkToFit="0" vertical="bottom" wrapText="0"/>
    </xf>
    <xf borderId="201" fillId="66" fontId="206" numFmtId="0" xfId="0" applyAlignment="1" applyBorder="1" applyFont="1">
      <alignment horizontal="center" shrinkToFit="0" vertical="bottom" wrapText="0"/>
    </xf>
    <xf borderId="202" fillId="2" fontId="295" numFmtId="0" xfId="0" applyAlignment="1" applyBorder="1" applyFont="1">
      <alignment horizontal="center" shrinkToFit="0" vertical="bottom" wrapText="0"/>
    </xf>
    <xf borderId="0" fillId="10" fontId="252" numFmtId="0" xfId="0" applyAlignment="1" applyFont="1">
      <alignment horizontal="center"/>
    </xf>
    <xf borderId="0" fillId="12" fontId="26" numFmtId="0" xfId="0" applyAlignment="1" applyFont="1">
      <alignment horizontal="center"/>
    </xf>
    <xf borderId="0" fillId="23" fontId="18" numFmtId="0" xfId="0" applyAlignment="1" applyFont="1">
      <alignment horizontal="center" shrinkToFit="0" vertical="bottom" wrapText="0"/>
    </xf>
    <xf borderId="189" fillId="6" fontId="296" numFmtId="0" xfId="0" applyAlignment="1" applyBorder="1" applyFont="1">
      <alignment horizontal="center" shrinkToFit="0" vertical="center" wrapText="0"/>
    </xf>
    <xf borderId="0" fillId="0" fontId="295" numFmtId="0" xfId="0" applyAlignment="1" applyFont="1">
      <alignment horizontal="center" shrinkToFit="0" vertical="bottom" wrapText="0"/>
    </xf>
    <xf borderId="187" fillId="4" fontId="295" numFmtId="0" xfId="0" applyAlignment="1" applyBorder="1" applyFont="1">
      <alignment horizontal="center" shrinkToFit="0" vertical="bottom" wrapText="0"/>
    </xf>
    <xf borderId="165" fillId="4" fontId="295" numFmtId="0" xfId="0" applyAlignment="1" applyBorder="1" applyFont="1">
      <alignment horizontal="center" shrinkToFit="0" vertical="bottom" wrapText="0"/>
    </xf>
    <xf borderId="188" fillId="4" fontId="295" numFmtId="0" xfId="0" applyAlignment="1" applyBorder="1" applyFont="1">
      <alignment horizontal="center" shrinkToFit="0" vertical="bottom" wrapText="0"/>
    </xf>
    <xf borderId="189" fillId="2" fontId="295" numFmtId="0" xfId="0" applyAlignment="1" applyBorder="1" applyFont="1">
      <alignment horizontal="center" shrinkToFit="0" vertical="bottom" wrapText="0"/>
    </xf>
    <xf borderId="189" fillId="4" fontId="295" numFmtId="0" xfId="0" applyAlignment="1" applyBorder="1" applyFont="1">
      <alignment horizontal="center" shrinkToFit="0" vertical="bottom" wrapText="0"/>
    </xf>
    <xf borderId="53" fillId="4" fontId="295" numFmtId="0" xfId="0" applyAlignment="1" applyBorder="1" applyFont="1">
      <alignment horizontal="center" shrinkToFit="0" vertical="bottom" wrapText="0"/>
    </xf>
    <xf borderId="0" fillId="4" fontId="295" numFmtId="0" xfId="0" applyAlignment="1" applyFont="1">
      <alignment horizontal="center" shrinkToFit="0" vertical="bottom" wrapText="0"/>
    </xf>
    <xf borderId="104" fillId="4" fontId="295" numFmtId="0" xfId="0" applyAlignment="1" applyBorder="1" applyFont="1">
      <alignment horizontal="center" shrinkToFit="0" vertical="bottom" wrapText="0"/>
    </xf>
    <xf borderId="7" fillId="15" fontId="254" numFmtId="0" xfId="0" applyAlignment="1" applyBorder="1" applyFont="1">
      <alignment horizontal="center" readingOrder="0" vertical="center"/>
    </xf>
    <xf borderId="165" fillId="2" fontId="295" numFmtId="0" xfId="0" applyAlignment="1" applyBorder="1" applyFont="1">
      <alignment horizontal="center" readingOrder="0" shrinkToFit="0" vertical="bottom" wrapText="0"/>
    </xf>
    <xf borderId="189" fillId="2" fontId="295" numFmtId="0" xfId="0" applyAlignment="1" applyBorder="1" applyFont="1">
      <alignment horizontal="center" readingOrder="0" shrinkToFit="0" vertical="bottom" wrapText="0"/>
    </xf>
    <xf borderId="183" fillId="6" fontId="294" numFmtId="0" xfId="0" applyAlignment="1" applyBorder="1" applyFont="1">
      <alignment horizontal="center" shrinkToFit="0" textRotation="1" vertical="center" wrapText="0"/>
    </xf>
    <xf borderId="201" fillId="8" fontId="206" numFmtId="0" xfId="0" applyAlignment="1" applyBorder="1" applyFont="1">
      <alignment horizontal="center" shrinkToFit="0" vertical="center" wrapText="0"/>
    </xf>
    <xf borderId="129" fillId="0" fontId="295" numFmtId="0" xfId="0" applyAlignment="1" applyBorder="1" applyFont="1">
      <alignment horizontal="center" shrinkToFit="0" vertical="bottom" wrapText="0"/>
    </xf>
    <xf borderId="203" fillId="4" fontId="295" numFmtId="0" xfId="0" applyAlignment="1" applyBorder="1" applyFont="1">
      <alignment horizontal="center" shrinkToFit="0" vertical="bottom" wrapText="0"/>
    </xf>
    <xf borderId="176" fillId="4" fontId="295" numFmtId="0" xfId="0" applyAlignment="1" applyBorder="1" applyFont="1">
      <alignment horizontal="center" shrinkToFit="0" vertical="bottom" wrapText="0"/>
    </xf>
    <xf borderId="182" fillId="4" fontId="295" numFmtId="0" xfId="0" applyAlignment="1" applyBorder="1" applyFont="1">
      <alignment horizontal="center" shrinkToFit="0" vertical="bottom" wrapText="0"/>
    </xf>
    <xf borderId="204" fillId="4" fontId="295" numFmtId="0" xfId="0" applyAlignment="1" applyBorder="1" applyFont="1">
      <alignment horizontal="center" shrinkToFit="0" vertical="bottom" wrapText="0"/>
    </xf>
    <xf borderId="189" fillId="0" fontId="3" numFmtId="0" xfId="0" applyBorder="1" applyFont="1"/>
    <xf borderId="165" fillId="10" fontId="24" numFmtId="0" xfId="0" applyAlignment="1" applyBorder="1" applyFont="1">
      <alignment horizontal="center" shrinkToFit="0" vertical="bottom" wrapText="0"/>
    </xf>
    <xf borderId="205" fillId="4" fontId="295" numFmtId="0" xfId="0" applyAlignment="1" applyBorder="1" applyFont="1">
      <alignment horizontal="center" shrinkToFit="0" vertical="bottom" wrapText="0"/>
    </xf>
    <xf borderId="190" fillId="4" fontId="295" numFmtId="0" xfId="0" applyAlignment="1" applyBorder="1" applyFont="1">
      <alignment horizontal="center" shrinkToFit="0" vertical="bottom" wrapText="0"/>
    </xf>
    <xf borderId="166" fillId="66" fontId="206" numFmtId="0" xfId="0" applyAlignment="1" applyBorder="1" applyFont="1">
      <alignment horizontal="center" shrinkToFit="0" vertical="bottom" wrapText="0"/>
    </xf>
    <xf borderId="165" fillId="42" fontId="297" numFmtId="0" xfId="0" applyAlignment="1" applyBorder="1" applyFont="1">
      <alignment horizontal="center" shrinkToFit="0" vertical="bottom" wrapText="0"/>
    </xf>
    <xf borderId="165" fillId="9" fontId="18" numFmtId="0" xfId="0" applyAlignment="1" applyBorder="1" applyFont="1">
      <alignment horizontal="center" shrinkToFit="0" vertical="bottom" wrapText="0"/>
    </xf>
    <xf borderId="192" fillId="0" fontId="295" numFmtId="0" xfId="0" applyAlignment="1" applyBorder="1" applyFont="1">
      <alignment horizontal="center" shrinkToFit="0" vertical="bottom" wrapText="0"/>
    </xf>
    <xf borderId="206" fillId="4" fontId="295" numFmtId="0" xfId="0" applyAlignment="1" applyBorder="1" applyFont="1">
      <alignment horizontal="center" shrinkToFit="0" vertical="bottom" wrapText="0"/>
    </xf>
    <xf borderId="194" fillId="4" fontId="295" numFmtId="0" xfId="0" applyAlignment="1" applyBorder="1" applyFont="1">
      <alignment horizontal="center" shrinkToFit="0" vertical="bottom" wrapText="0"/>
    </xf>
    <xf borderId="197" fillId="4" fontId="295" numFmtId="0" xfId="0" applyAlignment="1" applyBorder="1" applyFont="1">
      <alignment horizontal="center" shrinkToFit="0" vertical="bottom" wrapText="0"/>
    </xf>
    <xf borderId="207" fillId="66" fontId="206" numFmtId="0" xfId="0" applyAlignment="1" applyBorder="1" applyFont="1">
      <alignment horizontal="center" shrinkToFit="0" vertical="bottom" wrapText="0"/>
    </xf>
    <xf borderId="208" fillId="4" fontId="295" numFmtId="0" xfId="0" applyAlignment="1" applyBorder="1" applyFont="1">
      <alignment horizontal="center" shrinkToFit="0" vertical="bottom" wrapText="0"/>
    </xf>
    <xf borderId="200" fillId="4" fontId="295" numFmtId="0" xfId="0" applyAlignment="1" applyBorder="1" applyFont="1">
      <alignment horizontal="center" shrinkToFit="0" vertical="bottom" wrapText="0"/>
    </xf>
    <xf borderId="201" fillId="4" fontId="295" numFmtId="0" xfId="0" applyAlignment="1" applyBorder="1" applyFont="1">
      <alignment horizontal="center" shrinkToFit="0" vertical="bottom" wrapText="0"/>
    </xf>
    <xf borderId="209" fillId="66" fontId="206" numFmtId="0" xfId="0" applyAlignment="1" applyBorder="1" applyFont="1">
      <alignment horizontal="center" shrinkToFit="0" vertical="bottom" wrapText="0"/>
    </xf>
    <xf borderId="165" fillId="34" fontId="18" numFmtId="0" xfId="0" applyAlignment="1" applyBorder="1" applyFont="1">
      <alignment horizontal="center" shrinkToFit="0" vertical="bottom" wrapText="0"/>
    </xf>
    <xf borderId="165" fillId="40" fontId="29" numFmtId="0" xfId="0" applyAlignment="1" applyBorder="1" applyFont="1">
      <alignment horizontal="center" shrinkToFit="0" vertical="bottom" wrapText="0"/>
    </xf>
    <xf borderId="200" fillId="0" fontId="3" numFmtId="0" xfId="0" applyBorder="1" applyFont="1"/>
    <xf borderId="165" fillId="23" fontId="18" numFmtId="0" xfId="0" applyAlignment="1" applyBorder="1" applyFont="1">
      <alignment horizontal="center" shrinkToFit="0" vertical="bottom" wrapText="0"/>
    </xf>
    <xf borderId="183" fillId="6" fontId="294" numFmtId="0" xfId="0" applyAlignment="1" applyBorder="1" applyFont="1">
      <alignment horizontal="center" readingOrder="0" shrinkToFit="0" vertical="center" wrapText="0"/>
    </xf>
    <xf borderId="203" fillId="2" fontId="295" numFmtId="0" xfId="0" applyAlignment="1" applyBorder="1" applyFont="1">
      <alignment horizontal="center" shrinkToFit="0" vertical="bottom" wrapText="0"/>
    </xf>
    <xf borderId="165" fillId="11" fontId="29" numFmtId="0" xfId="0" applyAlignment="1" applyBorder="1" applyFont="1">
      <alignment horizontal="center" shrinkToFit="0" vertical="bottom" wrapText="0"/>
    </xf>
    <xf borderId="194" fillId="34" fontId="18" numFmtId="0" xfId="0" applyAlignment="1" applyBorder="1" applyFont="1">
      <alignment horizontal="center" shrinkToFit="0" vertical="bottom" wrapText="0"/>
    </xf>
    <xf borderId="183" fillId="6" fontId="294" numFmtId="0" xfId="0" applyAlignment="1" applyBorder="1" applyFont="1">
      <alignment horizontal="center" shrinkToFit="0" vertical="center" wrapText="0"/>
    </xf>
    <xf borderId="210" fillId="8" fontId="206" numFmtId="0" xfId="0" applyAlignment="1" applyBorder="1" applyFont="1">
      <alignment horizontal="center" shrinkToFit="0" vertical="center" wrapText="0"/>
    </xf>
    <xf borderId="211" fillId="0" fontId="61" numFmtId="0" xfId="0" applyAlignment="1" applyBorder="1" applyFont="1">
      <alignment horizontal="center" shrinkToFit="0" vertical="bottom" wrapText="0"/>
    </xf>
    <xf borderId="0" fillId="7" fontId="22" numFmtId="0" xfId="0" applyAlignment="1" applyFont="1">
      <alignment horizontal="center" shrinkToFit="0" vertical="bottom" wrapText="0"/>
    </xf>
    <xf borderId="47" fillId="0" fontId="61" numFmtId="0" xfId="0" applyAlignment="1" applyBorder="1" applyFont="1">
      <alignment horizontal="center" shrinkToFit="0" vertical="bottom" wrapText="0"/>
    </xf>
    <xf borderId="0" fillId="34" fontId="18" numFmtId="0" xfId="0" applyAlignment="1" applyFont="1">
      <alignment horizontal="center" shrinkToFit="0" vertical="bottom" wrapText="0"/>
    </xf>
    <xf borderId="0" fillId="40" fontId="29" numFmtId="0" xfId="0" applyAlignment="1" applyFont="1">
      <alignment horizontal="center" shrinkToFit="0" vertical="bottom" wrapText="0"/>
    </xf>
    <xf borderId="205" fillId="2" fontId="295" numFmtId="0" xfId="0" applyAlignment="1" applyBorder="1" applyFont="1">
      <alignment horizontal="center" shrinkToFit="0" vertical="bottom" wrapText="0"/>
    </xf>
    <xf borderId="0" fillId="36" fontId="246" numFmtId="0" xfId="0" applyAlignment="1" applyFont="1">
      <alignment horizontal="center" shrinkToFit="0" vertical="bottom" wrapText="0"/>
    </xf>
    <xf borderId="212" fillId="0" fontId="61" numFmtId="0" xfId="0" applyAlignment="1" applyBorder="1" applyFont="1">
      <alignment horizontal="center" shrinkToFit="0" vertical="bottom" wrapText="0"/>
    </xf>
    <xf borderId="206" fillId="2" fontId="295" numFmtId="0" xfId="0" applyAlignment="1" applyBorder="1" applyFont="1">
      <alignment horizontal="center" shrinkToFit="0" vertical="bottom" wrapText="0"/>
    </xf>
    <xf borderId="0" fillId="38" fontId="18" numFmtId="0" xfId="0" applyAlignment="1" applyFont="1">
      <alignment horizontal="center" shrinkToFit="0" vertical="bottom" wrapText="0"/>
    </xf>
    <xf borderId="208" fillId="2" fontId="295" numFmtId="0" xfId="0" applyAlignment="1" applyBorder="1" applyFont="1">
      <alignment horizontal="center" shrinkToFit="0" vertical="bottom" wrapText="0"/>
    </xf>
    <xf borderId="0" fillId="23" fontId="243" numFmtId="0" xfId="0" applyAlignment="1" applyFont="1">
      <alignment horizontal="center" shrinkToFit="0" vertical="bottom" wrapText="0"/>
    </xf>
    <xf borderId="0" fillId="41" fontId="257" numFmtId="0" xfId="0" applyAlignment="1" applyFont="1">
      <alignment horizontal="center" shrinkToFit="0" vertical="bottom" wrapText="0"/>
    </xf>
    <xf borderId="200" fillId="6" fontId="296" numFmtId="0" xfId="0" applyAlignment="1" applyBorder="1" applyFont="1">
      <alignment horizontal="center" shrinkToFit="0" vertical="center" wrapText="0"/>
    </xf>
    <xf borderId="166" fillId="4" fontId="295" numFmtId="0" xfId="0" applyAlignment="1" applyBorder="1" applyFont="1">
      <alignment horizontal="center" shrinkToFit="0" vertical="bottom" wrapText="0"/>
    </xf>
    <xf borderId="165" fillId="11" fontId="298" numFmtId="0" xfId="0" applyAlignment="1" applyBorder="1" applyFont="1">
      <alignment horizontal="center" shrinkToFit="0" vertical="center" wrapText="0"/>
    </xf>
    <xf borderId="165" fillId="14" fontId="294" numFmtId="0" xfId="0" applyAlignment="1" applyBorder="1" applyFont="1">
      <alignment horizontal="center" shrinkToFit="0" vertical="center" wrapText="0"/>
    </xf>
    <xf borderId="165" fillId="9" fontId="294" numFmtId="0" xfId="0" applyAlignment="1" applyBorder="1" applyFont="1">
      <alignment horizontal="center" shrinkToFit="0" vertical="bottom" wrapText="0"/>
    </xf>
    <xf borderId="165" fillId="30" fontId="294" numFmtId="0" xfId="0" applyAlignment="1" applyBorder="1" applyFont="1">
      <alignment horizontal="center" shrinkToFit="0" vertical="bottom" wrapText="0"/>
    </xf>
    <xf borderId="0" fillId="0" fontId="294" numFmtId="0" xfId="0" applyAlignment="1" applyFont="1">
      <alignment horizontal="center" shrinkToFit="0" vertical="center" wrapText="0"/>
    </xf>
    <xf borderId="165" fillId="42" fontId="245" numFmtId="0" xfId="0" applyAlignment="1" applyBorder="1" applyFont="1">
      <alignment horizontal="center" shrinkToFit="0" vertical="bottom" wrapText="0"/>
    </xf>
    <xf borderId="165" fillId="10" fontId="252" numFmtId="0" xfId="0" applyAlignment="1" applyBorder="1" applyFont="1">
      <alignment horizontal="center" shrinkToFit="0" vertical="bottom" wrapText="0"/>
    </xf>
    <xf borderId="201" fillId="41" fontId="257" numFmtId="0" xfId="0" applyAlignment="1" applyBorder="1" applyFont="1">
      <alignment horizontal="center" shrinkToFit="0" vertical="bottom" wrapText="0"/>
    </xf>
    <xf borderId="213" fillId="34" fontId="18" numFmtId="0" xfId="0" applyAlignment="1" applyBorder="1" applyFont="1">
      <alignment horizontal="center" shrinkToFit="0" vertical="bottom" wrapText="0"/>
    </xf>
    <xf borderId="190" fillId="7" fontId="22" numFmtId="0" xfId="0" applyAlignment="1" applyBorder="1" applyFont="1">
      <alignment horizontal="center" shrinkToFit="0" vertical="bottom" wrapText="0"/>
    </xf>
    <xf borderId="190" fillId="38" fontId="18" numFmtId="0" xfId="0" applyAlignment="1" applyBorder="1" applyFont="1">
      <alignment horizontal="center" shrinkToFit="0" vertical="bottom" wrapText="0"/>
    </xf>
    <xf borderId="190" fillId="40" fontId="29" numFmtId="0" xfId="0" applyAlignment="1" applyBorder="1" applyFont="1">
      <alignment horizontal="center" shrinkToFit="0" vertical="bottom" wrapText="0"/>
    </xf>
    <xf borderId="214" fillId="23" fontId="243" numFmtId="0" xfId="0" applyAlignment="1" applyBorder="1" applyFont="1">
      <alignment horizontal="center" shrinkToFit="0" vertical="bottom" wrapText="0"/>
    </xf>
    <xf borderId="214" fillId="36" fontId="246" numFmtId="0" xfId="0" applyAlignment="1" applyBorder="1" applyFont="1">
      <alignment horizontal="center" shrinkToFit="0" vertical="bottom" wrapText="0"/>
    </xf>
    <xf borderId="214" fillId="41" fontId="257" numFmtId="0" xfId="0" applyAlignment="1" applyBorder="1" applyFont="1">
      <alignment horizontal="center" shrinkToFit="0" vertical="bottom" wrapText="0"/>
    </xf>
    <xf borderId="165" fillId="6" fontId="296" numFmtId="0" xfId="0" applyAlignment="1" applyBorder="1" applyFont="1">
      <alignment horizontal="center" shrinkToFit="0" vertical="center" wrapText="0"/>
    </xf>
    <xf borderId="165" fillId="39" fontId="206" numFmtId="0" xfId="0" applyAlignment="1" applyBorder="1" applyFont="1">
      <alignment horizontal="center" shrinkToFit="0" vertical="bottom" wrapText="0"/>
    </xf>
    <xf borderId="215" fillId="0" fontId="3" numFmtId="0" xfId="0" applyBorder="1" applyFont="1"/>
    <xf borderId="163" fillId="66" fontId="206" numFmtId="0" xfId="0" applyAlignment="1" applyBorder="1" applyFont="1">
      <alignment horizontal="center" shrinkToFit="0" vertical="bottom" wrapText="0"/>
    </xf>
    <xf borderId="165" fillId="38" fontId="29" numFmtId="0" xfId="0" applyAlignment="1" applyBorder="1" applyFont="1">
      <alignment horizontal="center" shrinkToFit="0" vertical="bottom" wrapText="0"/>
    </xf>
    <xf borderId="165" fillId="51" fontId="29" numFmtId="0" xfId="0" applyAlignment="1" applyBorder="1" applyFont="1">
      <alignment horizontal="center" shrinkToFit="0" vertical="bottom" wrapText="0"/>
    </xf>
    <xf borderId="194" fillId="35" fontId="18" numFmtId="0" xfId="0" applyAlignment="1" applyBorder="1" applyFont="1">
      <alignment horizontal="center" shrinkToFit="0" vertical="bottom" wrapText="0"/>
    </xf>
    <xf borderId="216" fillId="66" fontId="206" numFmtId="0" xfId="0" applyAlignment="1" applyBorder="1" applyFont="1">
      <alignment horizontal="center" shrinkToFit="0" vertical="bottom" wrapText="0"/>
    </xf>
    <xf borderId="217" fillId="0" fontId="3" numFmtId="0" xfId="0" applyBorder="1" applyFont="1"/>
    <xf borderId="218" fillId="0" fontId="3" numFmtId="0" xfId="0" applyBorder="1" applyFont="1"/>
    <xf borderId="219" fillId="66" fontId="206" numFmtId="0" xfId="0" applyAlignment="1" applyBorder="1" applyFont="1">
      <alignment horizontal="center" shrinkToFit="0" vertical="bottom" wrapText="0"/>
    </xf>
    <xf borderId="220" fillId="0" fontId="3" numFmtId="0" xfId="0" applyBorder="1" applyFont="1"/>
    <xf borderId="221" fillId="0" fontId="3" numFmtId="0" xfId="0" applyBorder="1" applyFont="1"/>
    <xf borderId="165" fillId="31" fontId="18" numFmtId="0" xfId="0" applyAlignment="1" applyBorder="1" applyFont="1">
      <alignment horizontal="center" shrinkToFit="0" vertical="bottom" wrapText="0"/>
    </xf>
    <xf borderId="165" fillId="36" fontId="29" numFmtId="0" xfId="0" applyAlignment="1" applyBorder="1" applyFont="1">
      <alignment horizontal="center" shrinkToFit="0" vertical="bottom" wrapText="0"/>
    </xf>
    <xf borderId="165" fillId="37" fontId="18" numFmtId="0" xfId="0" applyAlignment="1" applyBorder="1" applyFont="1">
      <alignment horizontal="center" shrinkToFit="0" vertical="bottom" wrapText="0"/>
    </xf>
    <xf borderId="165" fillId="23" fontId="243" numFmtId="0" xfId="0" applyAlignment="1" applyBorder="1" applyFont="1">
      <alignment horizontal="center" shrinkToFit="0" vertical="bottom" wrapText="0"/>
    </xf>
    <xf borderId="222" fillId="0" fontId="3" numFmtId="0" xfId="0" applyBorder="1" applyFont="1"/>
    <xf borderId="223" fillId="64" fontId="29" numFmtId="0" xfId="0" applyAlignment="1" applyBorder="1" applyFont="1">
      <alignment horizontal="center" shrinkToFit="0" vertical="bottom" wrapText="0"/>
    </xf>
    <xf borderId="7" fillId="0" fontId="295" numFmtId="0" xfId="0" applyAlignment="1" applyBorder="1" applyFont="1">
      <alignment horizontal="center" shrinkToFit="0" vertical="bottom" wrapText="0"/>
    </xf>
    <xf borderId="224" fillId="4" fontId="295" numFmtId="0" xfId="0" applyAlignment="1" applyBorder="1" applyFont="1">
      <alignment horizontal="center" shrinkToFit="0" vertical="bottom" wrapText="0"/>
    </xf>
    <xf borderId="225" fillId="4" fontId="295" numFmtId="0" xfId="0" applyAlignment="1" applyBorder="1" applyFont="1">
      <alignment horizontal="center" shrinkToFit="0" vertical="bottom" wrapText="0"/>
    </xf>
    <xf borderId="223" fillId="2" fontId="295" numFmtId="0" xfId="0" applyAlignment="1" applyBorder="1" applyFont="1">
      <alignment horizontal="center" shrinkToFit="0" vertical="bottom" wrapText="0"/>
    </xf>
    <xf borderId="223" fillId="4" fontId="295" numFmtId="0" xfId="0" applyAlignment="1" applyBorder="1" applyFont="1">
      <alignment horizontal="center" shrinkToFit="0" vertical="bottom" wrapText="0"/>
    </xf>
    <xf borderId="226" fillId="66" fontId="206" numFmtId="0" xfId="0" applyAlignment="1" applyBorder="1" applyFont="1">
      <alignment horizontal="center" shrinkToFit="0" vertical="bottom" wrapText="0"/>
    </xf>
    <xf borderId="227" fillId="0" fontId="3" numFmtId="0" xfId="0" applyBorder="1" applyFont="1"/>
    <xf borderId="228" fillId="0" fontId="3" numFmtId="0" xfId="0" applyBorder="1" applyFont="1"/>
    <xf borderId="225" fillId="66" fontId="206" numFmtId="0" xfId="0" applyAlignment="1" applyBorder="1" applyFont="1">
      <alignment horizontal="center" shrinkToFit="0" vertical="bottom" wrapText="0"/>
    </xf>
    <xf borderId="229" fillId="66" fontId="206" numFmtId="0" xfId="0" applyAlignment="1" applyBorder="1" applyFont="1">
      <alignment horizontal="center" shrinkToFit="0" vertical="bottom" wrapText="0"/>
    </xf>
    <xf borderId="230" fillId="2" fontId="295" numFmtId="0" xfId="0" applyAlignment="1" applyBorder="1" applyFont="1">
      <alignment horizontal="center" shrinkToFit="0" vertical="bottom" wrapText="0"/>
    </xf>
    <xf borderId="190" fillId="8" fontId="206" numFmtId="0" xfId="0" applyAlignment="1" applyBorder="1" applyFont="1">
      <alignment horizontal="center" shrinkToFit="0" vertical="center" wrapText="0"/>
    </xf>
    <xf borderId="190" fillId="38" fontId="29" numFmtId="0" xfId="0" applyAlignment="1" applyBorder="1" applyFont="1">
      <alignment horizontal="center" shrinkToFit="0" vertical="bottom" wrapText="0"/>
    </xf>
    <xf borderId="190" fillId="51" fontId="29" numFmtId="0" xfId="0" applyAlignment="1" applyBorder="1" applyFont="1">
      <alignment horizontal="center" shrinkToFit="0" vertical="bottom" wrapText="0"/>
    </xf>
    <xf borderId="197" fillId="11" fontId="18" numFmtId="0" xfId="0" applyAlignment="1" applyBorder="1" applyFont="1">
      <alignment horizontal="center" shrinkToFit="0" vertical="bottom" wrapText="0"/>
    </xf>
    <xf borderId="190" fillId="29" fontId="29" numFmtId="0" xfId="0" applyAlignment="1" applyBorder="1" applyFont="1">
      <alignment horizontal="center" shrinkToFit="0" vertical="bottom" wrapText="0"/>
    </xf>
    <xf borderId="190" fillId="31" fontId="18" numFmtId="0" xfId="0" applyAlignment="1" applyBorder="1" applyFont="1">
      <alignment horizontal="center" shrinkToFit="0" vertical="bottom" wrapText="0"/>
    </xf>
    <xf borderId="190" fillId="36" fontId="29" numFmtId="0" xfId="0" applyAlignment="1" applyBorder="1" applyFont="1">
      <alignment horizontal="center" shrinkToFit="0" vertical="bottom" wrapText="0"/>
    </xf>
    <xf borderId="190" fillId="37" fontId="18" numFmtId="0" xfId="0" applyAlignment="1" applyBorder="1" applyFont="1">
      <alignment horizontal="center" shrinkToFit="0" vertical="bottom" wrapText="0"/>
    </xf>
    <xf borderId="190" fillId="23" fontId="243" numFmtId="0" xfId="0" applyAlignment="1" applyBorder="1" applyFont="1">
      <alignment horizontal="center" shrinkToFit="0" vertical="bottom" wrapText="0"/>
    </xf>
    <xf borderId="190" fillId="33" fontId="261" numFmtId="0" xfId="0" applyAlignment="1" applyBorder="1" applyFont="1">
      <alignment horizontal="center" shrinkToFit="0" vertical="bottom" wrapText="0"/>
    </xf>
    <xf borderId="225" fillId="64" fontId="29" numFmtId="0" xfId="0" applyAlignment="1" applyBorder="1" applyFont="1">
      <alignment horizontal="center" shrinkToFit="0" vertical="bottom" wrapText="0"/>
    </xf>
    <xf borderId="224" fillId="2" fontId="295" numFmtId="0" xfId="0" applyAlignment="1" applyBorder="1" applyFont="1">
      <alignment horizontal="center" shrinkToFit="0" vertical="bottom" wrapText="0"/>
    </xf>
    <xf borderId="0" fillId="41" fontId="237" numFmtId="0" xfId="0" applyAlignment="1" applyFont="1">
      <alignment horizontal="center" readingOrder="0" textRotation="1" vertical="bottom"/>
    </xf>
    <xf borderId="231" fillId="0" fontId="3" numFmtId="0" xfId="0" applyBorder="1" applyFont="1"/>
    <xf borderId="0" fillId="41" fontId="299" numFmtId="0" xfId="0" applyAlignment="1" applyFont="1">
      <alignment horizontal="center" readingOrder="0" vertical="bottom"/>
    </xf>
    <xf borderId="142" fillId="0" fontId="3" numFmtId="0" xfId="0" applyBorder="1" applyFont="1"/>
    <xf borderId="45" fillId="0" fontId="41" numFmtId="0" xfId="0" applyAlignment="1" applyBorder="1" applyFont="1">
      <alignment horizontal="left" readingOrder="0" vertical="bottom"/>
    </xf>
    <xf borderId="45" fillId="0" fontId="41" numFmtId="0" xfId="0" applyAlignment="1" applyBorder="1" applyFont="1">
      <alignment horizontal="center" readingOrder="0" vertical="bottom"/>
    </xf>
    <xf borderId="45" fillId="0" fontId="13" numFmtId="0" xfId="0" applyAlignment="1" applyBorder="1" applyFont="1">
      <alignment vertical="bottom"/>
    </xf>
    <xf borderId="45" fillId="0" fontId="41" numFmtId="0" xfId="0" applyAlignment="1" applyBorder="1" applyFont="1">
      <alignment horizontal="center" vertical="bottom"/>
    </xf>
    <xf borderId="45" fillId="0" fontId="41" numFmtId="0" xfId="0" applyAlignment="1" applyBorder="1" applyFont="1">
      <alignment horizontal="center" readingOrder="0"/>
    </xf>
    <xf borderId="45" fillId="0" fontId="41" numFmtId="0" xfId="0" applyAlignment="1" applyBorder="1" applyFont="1">
      <alignment horizontal="left" vertical="bottom"/>
    </xf>
    <xf borderId="45" fillId="0" fontId="238" numFmtId="0" xfId="0" applyAlignment="1" applyBorder="1" applyFont="1">
      <alignment horizontal="center" vertical="bottom"/>
    </xf>
    <xf borderId="57" fillId="0" fontId="13" numFmtId="0" xfId="0" applyAlignment="1" applyBorder="1" applyFont="1">
      <alignment vertical="bottom"/>
    </xf>
    <xf borderId="55" fillId="0" fontId="41" numFmtId="0" xfId="0" applyAlignment="1" applyBorder="1" applyFont="1">
      <alignment horizontal="center" readingOrder="0" vertical="bottom"/>
    </xf>
    <xf borderId="69" fillId="0" fontId="13" numFmtId="0" xfId="0" applyAlignment="1" applyBorder="1" applyFont="1">
      <alignment vertical="bottom"/>
    </xf>
    <xf borderId="55" fillId="0" fontId="41" numFmtId="0" xfId="0" applyAlignment="1" applyBorder="1" applyFont="1">
      <alignment horizontal="center" shrinkToFit="0" vertical="bottom" wrapText="0"/>
    </xf>
    <xf borderId="69" fillId="0" fontId="238" numFmtId="0" xfId="0" applyAlignment="1" applyBorder="1" applyFont="1">
      <alignment horizontal="center" vertical="bottom"/>
    </xf>
    <xf borderId="55" fillId="0" fontId="238" numFmtId="0" xfId="0" applyAlignment="1" applyBorder="1" applyFont="1">
      <alignment horizontal="center" shrinkToFit="0" vertical="bottom" wrapText="0"/>
    </xf>
    <xf borderId="55" fillId="0" fontId="41" numFmtId="0" xfId="0" applyAlignment="1" applyBorder="1" applyFont="1">
      <alignment horizontal="center" vertical="bottom"/>
    </xf>
    <xf borderId="0" fillId="0" fontId="13" numFmtId="0" xfId="0" applyAlignment="1" applyFont="1">
      <alignment vertical="bottom"/>
    </xf>
    <xf borderId="0" fillId="0" fontId="41" numFmtId="0" xfId="0" applyAlignment="1" applyFont="1">
      <alignment horizontal="center" vertical="bottom"/>
    </xf>
    <xf borderId="46" fillId="14" fontId="239" numFmtId="0" xfId="0" applyAlignment="1" applyBorder="1" applyFont="1">
      <alignment horizontal="center" vertical="bottom"/>
    </xf>
    <xf borderId="63" fillId="14" fontId="13" numFmtId="0" xfId="0" applyAlignment="1" applyBorder="1" applyFont="1">
      <alignment vertical="bottom"/>
    </xf>
    <xf borderId="44" fillId="14" fontId="13" numFmtId="0" xfId="0" applyAlignment="1" applyBorder="1" applyFont="1">
      <alignment vertical="bottom"/>
    </xf>
    <xf borderId="45" fillId="8" fontId="13" numFmtId="0" xfId="0" applyAlignment="1" applyBorder="1" applyFont="1">
      <alignment vertical="bottom"/>
    </xf>
    <xf borderId="46" fillId="14" fontId="13" numFmtId="0" xfId="0" applyAlignment="1" applyBorder="1" applyFont="1">
      <alignment vertical="bottom"/>
    </xf>
    <xf borderId="63" fillId="14" fontId="239" numFmtId="0" xfId="0" applyAlignment="1" applyBorder="1" applyFont="1">
      <alignment horizontal="center" vertical="bottom"/>
    </xf>
    <xf borderId="63" fillId="8" fontId="13" numFmtId="0" xfId="0" applyAlignment="1" applyBorder="1" applyFont="1">
      <alignment vertical="bottom"/>
    </xf>
    <xf borderId="69" fillId="14" fontId="13" numFmtId="0" xfId="0" applyAlignment="1" applyBorder="1" applyFont="1">
      <alignment vertical="bottom"/>
    </xf>
    <xf borderId="69" fillId="8" fontId="13" numFmtId="0" xfId="0" applyAlignment="1" applyBorder="1" applyFont="1">
      <alignment vertical="bottom"/>
    </xf>
    <xf borderId="69" fillId="14" fontId="239" numFmtId="0" xfId="0" applyAlignment="1" applyBorder="1" applyFont="1">
      <alignment horizontal="center" vertical="bottom"/>
    </xf>
    <xf borderId="69" fillId="8" fontId="239" numFmtId="0" xfId="0" applyAlignment="1" applyBorder="1" applyFont="1">
      <alignment horizontal="center" vertical="bottom"/>
    </xf>
    <xf borderId="0" fillId="41" fontId="4" numFmtId="0" xfId="0" applyAlignment="1" applyFont="1">
      <alignment horizontal="center" readingOrder="0" vertical="bottom"/>
    </xf>
    <xf borderId="0" fillId="41" fontId="17" numFmtId="0" xfId="0" applyAlignment="1" applyFont="1">
      <alignment horizontal="center" readingOrder="0" vertical="bottom"/>
    </xf>
    <xf borderId="97" fillId="0" fontId="81" numFmtId="0" xfId="0" applyAlignment="1" applyBorder="1" applyFont="1">
      <alignment horizontal="center" vertical="bottom"/>
    </xf>
    <xf borderId="232" fillId="0" fontId="81" numFmtId="0" xfId="0" applyAlignment="1" applyBorder="1" applyFont="1">
      <alignment horizontal="center" vertical="bottom"/>
    </xf>
    <xf borderId="233" fillId="0" fontId="1" numFmtId="169" xfId="0" applyAlignment="1" applyBorder="1" applyFont="1" applyNumberFormat="1">
      <alignment readingOrder="0" vertical="bottom"/>
    </xf>
    <xf borderId="234" fillId="8" fontId="81" numFmtId="0" xfId="0" applyAlignment="1" applyBorder="1" applyFont="1">
      <alignment vertical="bottom"/>
    </xf>
    <xf borderId="97" fillId="0" fontId="81" numFmtId="0" xfId="0" applyAlignment="1" applyBorder="1" applyFont="1">
      <alignment vertical="bottom"/>
    </xf>
    <xf borderId="232" fillId="8" fontId="13" numFmtId="0" xfId="0" applyAlignment="1" applyBorder="1" applyFont="1">
      <alignment horizontal="center" vertical="bottom"/>
    </xf>
    <xf borderId="232" fillId="8" fontId="81" numFmtId="0" xfId="0" applyAlignment="1" applyBorder="1" applyFont="1">
      <alignment horizontal="center" vertical="bottom"/>
    </xf>
    <xf borderId="232" fillId="0" fontId="81" numFmtId="0" xfId="0" applyAlignment="1" applyBorder="1" applyFont="1">
      <alignment horizontal="center" readingOrder="0" vertical="bottom"/>
    </xf>
    <xf borderId="0" fillId="54" fontId="18" numFmtId="0" xfId="0" applyAlignment="1" applyFont="1">
      <alignment readingOrder="0" vertical="bottom"/>
    </xf>
    <xf borderId="0" fillId="41" fontId="29" numFmtId="0" xfId="0" applyAlignment="1" applyFont="1">
      <alignment horizontal="center" readingOrder="0" vertical="bottom"/>
    </xf>
    <xf borderId="142" fillId="2" fontId="3" numFmtId="0" xfId="0" applyBorder="1" applyFont="1"/>
    <xf borderId="0" fillId="54" fontId="300" numFmtId="0" xfId="0" applyAlignment="1" applyFont="1">
      <alignment readingOrder="0" vertical="bottom"/>
    </xf>
    <xf borderId="0" fillId="54" fontId="13" numFmtId="0" xfId="0" applyAlignment="1" applyFont="1">
      <alignment vertical="bottom"/>
    </xf>
    <xf borderId="0" fillId="54" fontId="301" numFmtId="0" xfId="0" applyAlignment="1" applyFont="1">
      <alignment readingOrder="0" vertical="bottom"/>
    </xf>
    <xf borderId="0" fillId="54" fontId="13" numFmtId="0" xfId="0" applyAlignment="1" applyFont="1">
      <alignment readingOrder="0" vertical="bottom"/>
    </xf>
    <xf borderId="0" fillId="8" fontId="13" numFmtId="0" xfId="0" applyAlignment="1" applyFont="1">
      <alignment vertical="bottom"/>
    </xf>
    <xf borderId="0" fillId="4" fontId="18" numFmtId="0" xfId="0" applyAlignment="1" applyFont="1">
      <alignment readingOrder="0" shrinkToFit="0" vertical="bottom" wrapText="0"/>
    </xf>
    <xf borderId="0" fillId="41" fontId="29" numFmtId="0" xfId="0" applyAlignment="1" applyFont="1">
      <alignment horizontal="center" readingOrder="0" shrinkToFit="0" vertical="center" wrapText="1"/>
    </xf>
    <xf borderId="142" fillId="4" fontId="3" numFmtId="0" xfId="0" applyBorder="1" applyFont="1"/>
    <xf borderId="0" fillId="0" fontId="302" numFmtId="0" xfId="0" applyAlignment="1" applyFont="1">
      <alignment readingOrder="0" vertical="bottom"/>
    </xf>
    <xf borderId="0" fillId="0" fontId="303" numFmtId="0" xfId="0" applyAlignment="1" applyFont="1">
      <alignment readingOrder="0" vertical="bottom"/>
    </xf>
    <xf borderId="0" fillId="54" fontId="18" numFmtId="0" xfId="0" applyAlignment="1" applyFont="1">
      <alignment readingOrder="0" shrinkToFit="0" vertical="bottom" wrapText="0"/>
    </xf>
    <xf borderId="0" fillId="41" fontId="29" numFmtId="0" xfId="0" applyAlignment="1" applyFont="1">
      <alignment horizontal="center" readingOrder="0" shrinkToFit="0" vertical="top" wrapText="1"/>
    </xf>
    <xf borderId="0" fillId="4" fontId="18" numFmtId="0" xfId="0" applyAlignment="1" applyFont="1">
      <alignment readingOrder="0" vertical="bottom"/>
    </xf>
    <xf borderId="0" fillId="0" fontId="13" numFmtId="0" xfId="0" applyAlignment="1" applyFont="1">
      <alignment readingOrder="0" vertical="bottom"/>
    </xf>
    <xf borderId="0" fillId="0" fontId="280" numFmtId="0" xfId="0" applyAlignment="1" applyFont="1">
      <alignment readingOrder="0"/>
    </xf>
    <xf borderId="0" fillId="41" fontId="29" numFmtId="0" xfId="0" applyAlignment="1" applyFont="1">
      <alignment horizontal="center" readingOrder="0" shrinkToFit="0" textRotation="0" vertical="top" wrapText="1"/>
    </xf>
    <xf borderId="0" fillId="0" fontId="304" numFmtId="0" xfId="0" applyAlignment="1" applyFont="1">
      <alignment readingOrder="0"/>
    </xf>
    <xf borderId="0" fillId="0" fontId="280" numFmtId="0" xfId="0" applyAlignment="1" applyFont="1">
      <alignment readingOrder="0" vertical="bottom"/>
    </xf>
    <xf borderId="0" fillId="0" fontId="305" numFmtId="0" xfId="0" applyAlignment="1" applyFont="1">
      <alignment readingOrder="0" vertical="bottom"/>
    </xf>
    <xf borderId="0" fillId="0" fontId="13" numFmtId="0" xfId="0" applyAlignment="1" applyFont="1">
      <alignment readingOrder="0" vertical="bottom"/>
    </xf>
    <xf borderId="0" fillId="0" fontId="14" numFmtId="0" xfId="0" applyAlignment="1" applyFont="1">
      <alignment vertical="bottom"/>
    </xf>
    <xf borderId="0" fillId="41" fontId="29" numFmtId="0" xfId="0" applyAlignment="1" applyFont="1">
      <alignment readingOrder="0" shrinkToFit="0" vertical="center" wrapText="1"/>
    </xf>
    <xf borderId="0" fillId="8" fontId="29" numFmtId="0" xfId="0" applyAlignment="1" applyFont="1">
      <alignment readingOrder="0" shrinkToFit="0" vertical="bottom" wrapText="0"/>
    </xf>
    <xf borderId="142" fillId="8" fontId="29" numFmtId="0" xfId="0" applyAlignment="1" applyBorder="1" applyFont="1">
      <alignment readingOrder="0" shrinkToFit="0" vertical="bottom" wrapText="0"/>
    </xf>
    <xf borderId="0" fillId="0" fontId="81" numFmtId="0" xfId="0" applyAlignment="1" applyFont="1">
      <alignment readingOrder="0" vertical="bottom"/>
    </xf>
    <xf borderId="0" fillId="0" fontId="146" numFmtId="0" xfId="0" applyFont="1"/>
    <xf borderId="0" fillId="0" fontId="65" numFmtId="0" xfId="0" applyAlignment="1" applyFont="1">
      <alignment horizontal="center" readingOrder="0" vertical="bottom"/>
    </xf>
    <xf borderId="0" fillId="0" fontId="65" numFmtId="0" xfId="0" applyAlignment="1" applyFont="1">
      <alignment horizontal="center" readingOrder="0"/>
    </xf>
    <xf borderId="0" fillId="0" fontId="64" numFmtId="0" xfId="0" applyAlignment="1" applyFont="1">
      <alignment readingOrder="0" vertical="bottom"/>
    </xf>
    <xf borderId="0" fillId="0" fontId="64" numFmtId="0" xfId="0" applyAlignment="1" applyFont="1">
      <alignment horizontal="center" readingOrder="0" vertical="bottom"/>
    </xf>
    <xf borderId="0" fillId="0" fontId="64" numFmtId="0" xfId="0" applyAlignment="1" applyFont="1">
      <alignment horizontal="center" readingOrder="0"/>
    </xf>
    <xf borderId="0" fillId="8" fontId="306" numFmtId="0" xfId="0" applyAlignment="1" applyFont="1">
      <alignment readingOrder="0" vertical="bottom"/>
    </xf>
    <xf borderId="0" fillId="8" fontId="14" numFmtId="0" xfId="0" applyAlignment="1" applyFont="1">
      <alignment vertical="bottom"/>
    </xf>
    <xf borderId="142" fillId="8" fontId="14" numFmtId="0" xfId="0" applyAlignment="1" applyBorder="1" applyFont="1">
      <alignment vertical="bottom"/>
    </xf>
    <xf borderId="0" fillId="29" fontId="29" numFmtId="0" xfId="0" applyAlignment="1" applyFont="1">
      <alignment horizontal="center"/>
    </xf>
    <xf borderId="0" fillId="29" fontId="97" numFmtId="0" xfId="0" applyAlignment="1" applyFont="1">
      <alignment horizontal="right" vertical="bottom"/>
    </xf>
    <xf borderId="0" fillId="29" fontId="97" numFmtId="10" xfId="0" applyAlignment="1" applyFont="1" applyNumberFormat="1">
      <alignment horizontal="right" vertical="bottom"/>
    </xf>
    <xf borderId="0" fillId="29" fontId="29" numFmtId="10" xfId="0" applyAlignment="1" applyFont="1" applyNumberFormat="1">
      <alignment horizontal="center" readingOrder="0"/>
    </xf>
    <xf borderId="0" fillId="29" fontId="29" numFmtId="10" xfId="0" applyAlignment="1" applyFont="1" applyNumberFormat="1">
      <alignment horizontal="center"/>
    </xf>
    <xf borderId="0" fillId="29" fontId="29" numFmtId="0" xfId="0" applyAlignment="1" applyFont="1">
      <alignment horizontal="center" readingOrder="0"/>
    </xf>
    <xf borderId="0" fillId="0" fontId="81" numFmtId="0" xfId="0" applyAlignment="1" applyFont="1">
      <alignment vertical="bottom"/>
    </xf>
    <xf borderId="0" fillId="37" fontId="64" numFmtId="0" xfId="0" applyAlignment="1" applyFont="1">
      <alignment horizontal="center"/>
    </xf>
    <xf borderId="0" fillId="37" fontId="64" numFmtId="10" xfId="0" applyAlignment="1" applyFont="1" applyNumberFormat="1">
      <alignment horizontal="center" readingOrder="0"/>
    </xf>
    <xf borderId="69" fillId="51" fontId="29" numFmtId="0" xfId="0" applyAlignment="1" applyBorder="1" applyFont="1">
      <alignment horizontal="center"/>
    </xf>
    <xf borderId="69" fillId="51" fontId="29" numFmtId="10" xfId="0" applyAlignment="1" applyBorder="1" applyFont="1" applyNumberFormat="1">
      <alignment horizontal="center"/>
    </xf>
    <xf borderId="0" fillId="8" fontId="13" numFmtId="0" xfId="0" applyFont="1"/>
    <xf borderId="69" fillId="34" fontId="18" numFmtId="10" xfId="0" applyAlignment="1" applyBorder="1" applyFont="1" applyNumberFormat="1">
      <alignment horizontal="center" readingOrder="0" vertical="center"/>
    </xf>
    <xf borderId="69" fillId="10" fontId="24" numFmtId="0" xfId="0" applyAlignment="1" applyBorder="1" applyFont="1">
      <alignment horizontal="center"/>
    </xf>
    <xf borderId="69" fillId="10" fontId="24" numFmtId="10" xfId="0" applyAlignment="1" applyBorder="1" applyFont="1" applyNumberFormat="1">
      <alignment horizontal="center"/>
    </xf>
    <xf borderId="69" fillId="5" fontId="29" numFmtId="0" xfId="0" applyAlignment="1" applyBorder="1" applyFont="1">
      <alignment horizontal="center"/>
    </xf>
    <xf borderId="69" fillId="5" fontId="29" numFmtId="10" xfId="0" applyAlignment="1" applyBorder="1" applyFont="1" applyNumberFormat="1">
      <alignment horizontal="center"/>
    </xf>
    <xf borderId="0" fillId="8" fontId="14" numFmtId="0" xfId="0" applyAlignment="1" applyFont="1">
      <alignment vertical="bottom"/>
    </xf>
    <xf borderId="0" fillId="37" fontId="81" numFmtId="0" xfId="0" applyAlignment="1" applyFont="1">
      <alignment horizontal="right" vertical="bottom"/>
    </xf>
    <xf borderId="0" fillId="37" fontId="81" numFmtId="10" xfId="0" applyAlignment="1" applyFont="1" applyNumberFormat="1">
      <alignment horizontal="right" vertical="bottom"/>
    </xf>
    <xf borderId="0" fillId="46" fontId="243" numFmtId="0" xfId="0" applyAlignment="1" applyFont="1">
      <alignment horizontal="center" readingOrder="0"/>
    </xf>
    <xf borderId="0" fillId="46" fontId="243" numFmtId="0" xfId="0" applyAlignment="1" applyFont="1">
      <alignment horizontal="center"/>
    </xf>
    <xf borderId="0" fillId="46" fontId="243" numFmtId="10" xfId="0" applyAlignment="1" applyFont="1" applyNumberFormat="1">
      <alignment horizontal="center" readingOrder="0"/>
    </xf>
    <xf borderId="69" fillId="16" fontId="244" numFmtId="0" xfId="0" applyAlignment="1" applyBorder="1" applyFont="1">
      <alignment horizontal="center"/>
    </xf>
    <xf borderId="69" fillId="16" fontId="244" numFmtId="10" xfId="0" applyAlignment="1" applyBorder="1" applyFont="1" applyNumberFormat="1">
      <alignment horizontal="center"/>
    </xf>
    <xf borderId="0" fillId="7" fontId="29" numFmtId="0" xfId="0" applyAlignment="1" applyFont="1">
      <alignment horizontal="center"/>
    </xf>
    <xf borderId="69" fillId="38" fontId="29" numFmtId="0" xfId="0" applyAlignment="1" applyBorder="1" applyFont="1">
      <alignment horizontal="center"/>
    </xf>
    <xf borderId="69" fillId="38" fontId="29" numFmtId="10" xfId="0" applyAlignment="1" applyBorder="1" applyFont="1" applyNumberFormat="1">
      <alignment horizontal="center"/>
    </xf>
    <xf borderId="63" fillId="7" fontId="22" numFmtId="0" xfId="0" applyAlignment="1" applyBorder="1" applyFont="1">
      <alignment horizontal="center" vertical="center"/>
    </xf>
    <xf borderId="63" fillId="7" fontId="22" numFmtId="10" xfId="0" applyAlignment="1" applyBorder="1" applyFont="1" applyNumberFormat="1">
      <alignment horizontal="center" vertical="center"/>
    </xf>
    <xf borderId="69" fillId="42" fontId="245" numFmtId="0" xfId="0" applyAlignment="1" applyBorder="1" applyFont="1">
      <alignment horizontal="center"/>
    </xf>
    <xf borderId="69" fillId="42" fontId="245" numFmtId="10" xfId="0" applyAlignment="1" applyBorder="1" applyFont="1" applyNumberFormat="1">
      <alignment horizontal="center"/>
    </xf>
    <xf borderId="0" fillId="9" fontId="18" numFmtId="0" xfId="0" applyAlignment="1" applyFont="1">
      <alignment horizontal="center"/>
    </xf>
    <xf borderId="0" fillId="9" fontId="18" numFmtId="10" xfId="0" applyAlignment="1" applyFont="1" applyNumberFormat="1">
      <alignment horizontal="center"/>
    </xf>
    <xf borderId="0" fillId="46" fontId="243" numFmtId="0" xfId="0" applyAlignment="1" applyFont="1">
      <alignment horizontal="center"/>
    </xf>
    <xf borderId="0" fillId="46" fontId="273" numFmtId="0" xfId="0" applyAlignment="1" applyFont="1">
      <alignment horizontal="right" vertical="bottom"/>
    </xf>
    <xf borderId="0" fillId="46" fontId="273" numFmtId="10" xfId="0" applyAlignment="1" applyFont="1" applyNumberFormat="1">
      <alignment horizontal="right" vertical="bottom"/>
    </xf>
    <xf borderId="55" fillId="36" fontId="246" numFmtId="10" xfId="0" applyAlignment="1" applyBorder="1" applyFont="1" applyNumberFormat="1">
      <alignment horizontal="center" readingOrder="0" vertical="center"/>
    </xf>
    <xf borderId="69" fillId="4" fontId="247" numFmtId="0" xfId="0" applyAlignment="1" applyBorder="1" applyFont="1">
      <alignment horizontal="center"/>
    </xf>
    <xf borderId="69" fillId="4" fontId="247" numFmtId="10" xfId="0" applyAlignment="1" applyBorder="1" applyFont="1" applyNumberFormat="1">
      <alignment horizontal="center"/>
    </xf>
    <xf borderId="0" fillId="29" fontId="56" numFmtId="0" xfId="0" applyAlignment="1" applyFont="1">
      <alignment horizontal="center" readingOrder="0"/>
    </xf>
    <xf borderId="69" fillId="29" fontId="29" numFmtId="0" xfId="0" applyAlignment="1" applyBorder="1" applyFont="1">
      <alignment horizontal="center"/>
    </xf>
    <xf borderId="69" fillId="29" fontId="29" numFmtId="10" xfId="0" applyAlignment="1" applyBorder="1" applyFont="1" applyNumberFormat="1">
      <alignment horizontal="center"/>
    </xf>
    <xf borderId="69" fillId="11" fontId="29" numFmtId="0" xfId="0" applyAlignment="1" applyBorder="1" applyFont="1">
      <alignment horizontal="center"/>
    </xf>
    <xf borderId="69" fillId="11" fontId="29" numFmtId="10" xfId="0" applyAlignment="1" applyBorder="1" applyFont="1" applyNumberFormat="1">
      <alignment horizontal="center"/>
    </xf>
    <xf borderId="69" fillId="10" fontId="24" numFmtId="0" xfId="0" applyAlignment="1" applyBorder="1" applyFont="1">
      <alignment horizontal="center" vertical="bottom"/>
    </xf>
    <xf borderId="69" fillId="10" fontId="24" numFmtId="10" xfId="0" applyAlignment="1" applyBorder="1" applyFont="1" applyNumberFormat="1">
      <alignment horizontal="center" vertical="bottom"/>
    </xf>
    <xf borderId="0" fillId="48" fontId="29" numFmtId="0" xfId="0" applyAlignment="1" applyFont="1">
      <alignment horizontal="center"/>
    </xf>
    <xf borderId="0" fillId="48" fontId="97" numFmtId="0" xfId="0" applyAlignment="1" applyFont="1">
      <alignment horizontal="right" vertical="bottom"/>
    </xf>
    <xf borderId="0" fillId="48" fontId="97" numFmtId="10" xfId="0" applyAlignment="1" applyFont="1" applyNumberFormat="1">
      <alignment horizontal="right" vertical="bottom"/>
    </xf>
    <xf borderId="55" fillId="47" fontId="29" numFmtId="10" xfId="0" applyAlignment="1" applyBorder="1" applyFont="1" applyNumberFormat="1">
      <alignment horizontal="center" readingOrder="0" vertical="center"/>
    </xf>
    <xf borderId="0" fillId="37" fontId="64" numFmtId="10" xfId="0" applyAlignment="1" applyFont="1" applyNumberFormat="1">
      <alignment horizontal="center"/>
    </xf>
    <xf borderId="69" fillId="50" fontId="29" numFmtId="0" xfId="0" applyAlignment="1" applyBorder="1" applyFont="1">
      <alignment horizontal="center"/>
    </xf>
    <xf borderId="69" fillId="50" fontId="29" numFmtId="10" xfId="0" applyAlignment="1" applyBorder="1" applyFont="1" applyNumberFormat="1">
      <alignment horizontal="center"/>
    </xf>
    <xf borderId="0" fillId="11" fontId="18" numFmtId="0" xfId="0" applyAlignment="1" applyFont="1">
      <alignment horizontal="center"/>
    </xf>
    <xf borderId="0" fillId="11" fontId="18" numFmtId="10" xfId="0" applyAlignment="1" applyFont="1" applyNumberFormat="1">
      <alignment horizontal="center"/>
    </xf>
    <xf borderId="0" fillId="0" fontId="29" numFmtId="0" xfId="0" applyAlignment="1" applyFont="1">
      <alignment horizontal="center"/>
    </xf>
    <xf borderId="0" fillId="8" fontId="29" numFmtId="0" xfId="0" applyAlignment="1" applyFont="1">
      <alignment horizontal="center"/>
    </xf>
    <xf borderId="69" fillId="40" fontId="29" numFmtId="0" xfId="0" applyAlignment="1" applyBorder="1" applyFont="1">
      <alignment horizontal="center"/>
    </xf>
    <xf borderId="69" fillId="40" fontId="29" numFmtId="10" xfId="0" applyAlignment="1" applyBorder="1" applyFont="1" applyNumberFormat="1">
      <alignment horizontal="center"/>
    </xf>
    <xf borderId="63" fillId="7" fontId="22" numFmtId="0" xfId="0" applyAlignment="1" applyBorder="1" applyFont="1">
      <alignment horizontal="center"/>
    </xf>
    <xf borderId="63" fillId="7" fontId="22" numFmtId="10" xfId="0" applyAlignment="1" applyBorder="1" applyFont="1" applyNumberFormat="1">
      <alignment horizontal="center"/>
    </xf>
    <xf borderId="0" fillId="36" fontId="246" numFmtId="0" xfId="0" applyAlignment="1" applyFont="1">
      <alignment horizontal="center"/>
    </xf>
    <xf borderId="0" fillId="36" fontId="240" numFmtId="0" xfId="0" applyAlignment="1" applyFont="1">
      <alignment horizontal="right" vertical="bottom"/>
    </xf>
    <xf borderId="0" fillId="36" fontId="240" numFmtId="10" xfId="0" applyAlignment="1" applyFont="1" applyNumberFormat="1">
      <alignment horizontal="right" vertical="bottom"/>
    </xf>
    <xf borderId="0" fillId="49" fontId="29" numFmtId="0" xfId="0" applyAlignment="1" applyFont="1">
      <alignment horizontal="center"/>
    </xf>
    <xf borderId="0" fillId="49" fontId="29" numFmtId="10" xfId="0" applyAlignment="1" applyFont="1" applyNumberFormat="1">
      <alignment horizontal="center"/>
    </xf>
    <xf borderId="69" fillId="52" fontId="29" numFmtId="0" xfId="0" applyAlignment="1" applyBorder="1" applyFont="1">
      <alignment horizontal="center"/>
    </xf>
    <xf borderId="7" fillId="23" fontId="18" numFmtId="0" xfId="0" applyAlignment="1" applyBorder="1" applyFont="1">
      <alignment horizontal="center"/>
    </xf>
    <xf borderId="7" fillId="23" fontId="18" numFmtId="10" xfId="0" applyAlignment="1" applyBorder="1" applyFont="1" applyNumberFormat="1">
      <alignment horizontal="center"/>
    </xf>
    <xf borderId="0" fillId="49" fontId="97" numFmtId="0" xfId="0" applyAlignment="1" applyFont="1">
      <alignment horizontal="right" vertical="bottom"/>
    </xf>
    <xf borderId="0" fillId="49" fontId="97" numFmtId="10" xfId="0" applyAlignment="1" applyFont="1" applyNumberFormat="1">
      <alignment horizontal="right" vertical="bottom"/>
    </xf>
    <xf borderId="55" fillId="56" fontId="29" numFmtId="10" xfId="0" applyAlignment="1" applyBorder="1" applyFont="1" applyNumberFormat="1">
      <alignment horizontal="center" readingOrder="0" vertical="center"/>
    </xf>
    <xf borderId="55" fillId="58" fontId="259" numFmtId="10" xfId="0" applyAlignment="1" applyBorder="1" applyFont="1" applyNumberFormat="1">
      <alignment horizontal="center" readingOrder="0" vertical="center"/>
    </xf>
    <xf borderId="69" fillId="52" fontId="29" numFmtId="10" xfId="0" applyAlignment="1" applyBorder="1" applyFont="1" applyNumberFormat="1">
      <alignment horizontal="center"/>
    </xf>
    <xf borderId="69" fillId="23" fontId="29" numFmtId="0" xfId="0" applyAlignment="1" applyBorder="1" applyFont="1">
      <alignment horizontal="center"/>
    </xf>
    <xf borderId="69" fillId="31" fontId="18" numFmtId="0" xfId="0" applyAlignment="1" applyBorder="1" applyFont="1">
      <alignment horizontal="center"/>
    </xf>
    <xf borderId="69" fillId="31" fontId="18" numFmtId="10" xfId="0" applyAlignment="1" applyBorder="1" applyFont="1" applyNumberFormat="1">
      <alignment horizontal="center"/>
    </xf>
    <xf borderId="69" fillId="23" fontId="243" numFmtId="0" xfId="0" applyAlignment="1" applyBorder="1" applyFont="1">
      <alignment horizontal="center"/>
    </xf>
    <xf borderId="69" fillId="23" fontId="243" numFmtId="10" xfId="0" applyAlignment="1" applyBorder="1" applyFont="1" applyNumberFormat="1">
      <alignment horizontal="center"/>
    </xf>
    <xf borderId="0" fillId="9" fontId="18" numFmtId="0" xfId="0" applyAlignment="1" applyFont="1">
      <alignment horizontal="center" readingOrder="0"/>
    </xf>
    <xf borderId="0" fillId="9" fontId="18" numFmtId="10" xfId="0" applyAlignment="1" applyFont="1" applyNumberFormat="1">
      <alignment horizontal="center" readingOrder="0"/>
    </xf>
    <xf borderId="0" fillId="0" fontId="13" numFmtId="10" xfId="0" applyAlignment="1" applyFont="1" applyNumberFormat="1">
      <alignment readingOrder="0" vertical="bottom"/>
    </xf>
    <xf borderId="142" fillId="8" fontId="13" numFmtId="0" xfId="0" applyAlignment="1" applyBorder="1" applyFont="1">
      <alignment vertical="bottom"/>
    </xf>
    <xf borderId="0" fillId="11" fontId="29" numFmtId="0" xfId="0" applyAlignment="1" applyFont="1">
      <alignment horizontal="center"/>
    </xf>
    <xf borderId="0" fillId="11" fontId="97" numFmtId="0" xfId="0" applyAlignment="1" applyFont="1">
      <alignment horizontal="right" vertical="bottom"/>
    </xf>
    <xf borderId="0" fillId="11" fontId="97" numFmtId="10" xfId="0" applyAlignment="1" applyFont="1" applyNumberFormat="1">
      <alignment horizontal="right" vertical="bottom"/>
    </xf>
    <xf borderId="0" fillId="11" fontId="29" numFmtId="10" xfId="0" applyAlignment="1" applyFont="1" applyNumberFormat="1">
      <alignment horizontal="center"/>
    </xf>
    <xf borderId="55" fillId="50" fontId="245" numFmtId="10" xfId="0" applyAlignment="1" applyBorder="1" applyFont="1" applyNumberFormat="1">
      <alignment horizontal="center" readingOrder="0" vertical="center"/>
    </xf>
    <xf borderId="235" fillId="7" fontId="29" numFmtId="0" xfId="0" applyAlignment="1" applyBorder="1" applyFont="1">
      <alignment horizontal="center" readingOrder="0" vertical="center"/>
    </xf>
    <xf borderId="236" fillId="34" fontId="64" numFmtId="0" xfId="0" applyAlignment="1" applyBorder="1" applyFont="1">
      <alignment horizontal="center"/>
    </xf>
    <xf borderId="236" fillId="34" fontId="64" numFmtId="10" xfId="0" applyAlignment="1" applyBorder="1" applyFont="1" applyNumberFormat="1">
      <alignment horizontal="center"/>
    </xf>
    <xf borderId="236" fillId="16" fontId="244" numFmtId="0" xfId="0" applyAlignment="1" applyBorder="1" applyFont="1">
      <alignment horizontal="center"/>
    </xf>
    <xf borderId="69" fillId="36" fontId="29" numFmtId="0" xfId="0" applyAlignment="1" applyBorder="1" applyFont="1">
      <alignment horizontal="center"/>
    </xf>
    <xf borderId="69" fillId="36" fontId="29" numFmtId="10" xfId="0" applyAlignment="1" applyBorder="1" applyFont="1" applyNumberFormat="1">
      <alignment horizontal="center"/>
    </xf>
    <xf borderId="69" fillId="36" fontId="246" numFmtId="0" xfId="0" applyAlignment="1" applyBorder="1" applyFont="1">
      <alignment horizontal="center"/>
    </xf>
    <xf borderId="69" fillId="36" fontId="246" numFmtId="10" xfId="0" applyAlignment="1" applyBorder="1" applyFont="1" applyNumberFormat="1">
      <alignment horizontal="center"/>
    </xf>
    <xf borderId="0" fillId="0" fontId="9" numFmtId="0" xfId="0" applyAlignment="1" applyFont="1">
      <alignment readingOrder="0" vertical="bottom"/>
    </xf>
    <xf borderId="0" fillId="47" fontId="29" numFmtId="0" xfId="0" applyAlignment="1" applyFont="1">
      <alignment horizontal="center" readingOrder="0"/>
    </xf>
    <xf borderId="0" fillId="47" fontId="97" numFmtId="0" xfId="0" applyAlignment="1" applyFont="1">
      <alignment horizontal="right" vertical="bottom"/>
    </xf>
    <xf borderId="0" fillId="47" fontId="97" numFmtId="10" xfId="0" applyAlignment="1" applyFont="1" applyNumberFormat="1">
      <alignment horizontal="right" vertical="bottom"/>
    </xf>
    <xf borderId="7" fillId="50" fontId="29" numFmtId="0" xfId="0" applyAlignment="1" applyBorder="1" applyFont="1">
      <alignment horizontal="center"/>
    </xf>
    <xf borderId="0" fillId="50" fontId="29" numFmtId="0" xfId="0" applyAlignment="1" applyFont="1">
      <alignment horizontal="center"/>
    </xf>
    <xf borderId="0" fillId="50" fontId="29" numFmtId="10" xfId="0" applyAlignment="1" applyFont="1" applyNumberFormat="1">
      <alignment horizontal="center"/>
    </xf>
    <xf borderId="7" fillId="11" fontId="29" numFmtId="0" xfId="0" applyAlignment="1" applyBorder="1" applyFont="1">
      <alignment horizontal="center"/>
    </xf>
    <xf borderId="55" fillId="22" fontId="249" numFmtId="10" xfId="0" applyAlignment="1" applyBorder="1" applyFont="1" applyNumberFormat="1">
      <alignment horizontal="center" readingOrder="0" vertical="center"/>
    </xf>
    <xf borderId="0" fillId="0" fontId="14" numFmtId="0" xfId="0" applyAlignment="1" applyFont="1">
      <alignment readingOrder="0" vertical="bottom"/>
    </xf>
    <xf borderId="0" fillId="0" fontId="13" numFmtId="9" xfId="0" applyAlignment="1" applyFont="1" applyNumberFormat="1">
      <alignment readingOrder="0" vertical="bottom"/>
    </xf>
    <xf borderId="69" fillId="37" fontId="64" numFmtId="0" xfId="0" applyAlignment="1" applyBorder="1" applyFont="1">
      <alignment horizontal="center"/>
    </xf>
    <xf borderId="69" fillId="37" fontId="64" numFmtId="10" xfId="0" applyAlignment="1" applyBorder="1" applyFont="1" applyNumberFormat="1">
      <alignment horizontal="center"/>
    </xf>
    <xf borderId="236" fillId="41" fontId="257" numFmtId="0" xfId="0" applyAlignment="1" applyBorder="1" applyFont="1">
      <alignment horizontal="center"/>
    </xf>
    <xf borderId="236" fillId="41" fontId="257" numFmtId="10" xfId="0" applyAlignment="1" applyBorder="1" applyFont="1" applyNumberFormat="1">
      <alignment horizontal="center"/>
    </xf>
    <xf borderId="0" fillId="50" fontId="97" numFmtId="0" xfId="0" applyAlignment="1" applyFont="1">
      <alignment horizontal="right" vertical="bottom"/>
    </xf>
    <xf borderId="0" fillId="50" fontId="97" numFmtId="10" xfId="0" applyAlignment="1" applyFont="1" applyNumberFormat="1">
      <alignment horizontal="right" vertical="bottom"/>
    </xf>
    <xf borderId="0" fillId="0" fontId="65" numFmtId="0" xfId="0" applyAlignment="1" applyFont="1">
      <alignment vertical="bottom"/>
    </xf>
    <xf borderId="129" fillId="0" fontId="146" numFmtId="0" xfId="0" applyAlignment="1" applyBorder="1" applyFont="1">
      <alignment vertical="bottom"/>
    </xf>
    <xf borderId="129" fillId="0" fontId="146" numFmtId="10" xfId="0" applyAlignment="1" applyBorder="1" applyFont="1" applyNumberFormat="1">
      <alignment vertical="bottom"/>
    </xf>
    <xf borderId="129" fillId="0" fontId="146" numFmtId="9" xfId="0" applyAlignment="1" applyBorder="1" applyFont="1" applyNumberFormat="1">
      <alignment readingOrder="0" vertical="bottom"/>
    </xf>
    <xf borderId="0" fillId="0" fontId="146" numFmtId="0" xfId="0" applyAlignment="1" applyFont="1">
      <alignment vertical="bottom"/>
    </xf>
    <xf borderId="0" fillId="0" fontId="146" numFmtId="0" xfId="0" applyAlignment="1" applyFont="1">
      <alignment readingOrder="0" vertical="bottom"/>
    </xf>
    <xf borderId="0" fillId="0" fontId="146" numFmtId="9" xfId="0" applyAlignment="1" applyFont="1" applyNumberFormat="1">
      <alignment readingOrder="0" vertical="bottom"/>
    </xf>
    <xf borderId="235" fillId="48" fontId="29" numFmtId="0" xfId="0" applyAlignment="1" applyBorder="1" applyFont="1">
      <alignment horizontal="center" readingOrder="0" vertical="center"/>
    </xf>
    <xf borderId="235" fillId="48" fontId="29" numFmtId="10" xfId="0" applyAlignment="1" applyBorder="1" applyFont="1" applyNumberFormat="1">
      <alignment horizontal="center" readingOrder="0" vertical="center"/>
    </xf>
    <xf borderId="0" fillId="0" fontId="13" numFmtId="0" xfId="0" applyAlignment="1" applyFont="1">
      <alignment readingOrder="0" shrinkToFit="0" vertical="bottom" wrapText="1"/>
    </xf>
    <xf borderId="0" fillId="0" fontId="146" numFmtId="0" xfId="0" applyAlignment="1" applyFont="1">
      <alignment horizontal="right" readingOrder="0"/>
    </xf>
    <xf borderId="0" fillId="0" fontId="146" numFmtId="10" xfId="0" applyAlignment="1" applyFont="1" applyNumberFormat="1">
      <alignment horizontal="right" readingOrder="0"/>
    </xf>
    <xf borderId="0" fillId="0" fontId="307" numFmtId="0" xfId="0" applyAlignment="1" applyFont="1">
      <alignment horizontal="left"/>
    </xf>
    <xf borderId="0" fillId="60" fontId="97" numFmtId="0" xfId="0" applyAlignment="1" applyFont="1">
      <alignment horizontal="center" vertical="bottom"/>
    </xf>
    <xf borderId="0" fillId="60" fontId="97" numFmtId="0" xfId="0" applyAlignment="1" applyFont="1">
      <alignment horizontal="right" vertical="bottom"/>
    </xf>
    <xf borderId="0" fillId="60" fontId="97" numFmtId="10" xfId="0" applyAlignment="1" applyFont="1" applyNumberFormat="1">
      <alignment horizontal="right" vertical="bottom"/>
    </xf>
    <xf borderId="0" fillId="0" fontId="13" numFmtId="10" xfId="0" applyAlignment="1" applyFont="1" applyNumberFormat="1">
      <alignment vertical="bottom"/>
    </xf>
    <xf borderId="69" fillId="33" fontId="261" numFmtId="0" xfId="0" applyAlignment="1" applyBorder="1" applyFont="1">
      <alignment horizontal="center"/>
    </xf>
    <xf borderId="69" fillId="33" fontId="261" numFmtId="10" xfId="0" applyAlignment="1" applyBorder="1" applyFont="1" applyNumberFormat="1">
      <alignment horizontal="center"/>
    </xf>
    <xf borderId="0" fillId="8" fontId="29" numFmtId="0" xfId="0" applyAlignment="1" applyFont="1">
      <alignment readingOrder="0"/>
    </xf>
    <xf borderId="7" fillId="20" fontId="18" numFmtId="0" xfId="0" applyAlignment="1" applyBorder="1" applyFont="1">
      <alignment horizontal="center" readingOrder="0" vertical="center"/>
    </xf>
    <xf borderId="7" fillId="20" fontId="1" numFmtId="0" xfId="0" applyAlignment="1" applyBorder="1" applyFont="1">
      <alignment readingOrder="0" vertical="bottom"/>
    </xf>
    <xf borderId="7" fillId="20" fontId="1" numFmtId="10" xfId="0" applyAlignment="1" applyBorder="1" applyFont="1" applyNumberFormat="1">
      <alignment readingOrder="0" vertical="bottom"/>
    </xf>
    <xf borderId="236" fillId="64" fontId="29" numFmtId="0" xfId="0" applyAlignment="1" applyBorder="1" applyFont="1">
      <alignment horizontal="center"/>
    </xf>
    <xf borderId="236" fillId="64" fontId="29" numFmtId="10" xfId="0" applyAlignment="1" applyBorder="1" applyFont="1" applyNumberFormat="1">
      <alignment horizontal="center"/>
    </xf>
    <xf borderId="129" fillId="0" fontId="13" numFmtId="0" xfId="0" applyAlignment="1" applyBorder="1" applyFont="1">
      <alignment vertical="bottom"/>
    </xf>
    <xf borderId="129" fillId="0" fontId="13" numFmtId="10" xfId="0" applyAlignment="1" applyBorder="1" applyFont="1" applyNumberFormat="1">
      <alignment vertical="bottom"/>
    </xf>
    <xf borderId="0" fillId="0" fontId="146" numFmtId="0" xfId="0" applyAlignment="1" applyFont="1">
      <alignment horizontal="right" vertical="bottom"/>
    </xf>
    <xf borderId="0" fillId="0" fontId="146" numFmtId="10" xfId="0" applyAlignment="1" applyFont="1" applyNumberFormat="1">
      <alignment vertical="bottom"/>
    </xf>
    <xf borderId="0" fillId="8" fontId="308" numFmtId="0" xfId="0" applyAlignment="1" applyFont="1">
      <alignment readingOrder="0" vertical="bottom"/>
    </xf>
    <xf borderId="1" fillId="2" fontId="289" numFmtId="0" xfId="0" applyAlignment="1" applyBorder="1" applyFont="1">
      <alignment horizontal="left" readingOrder="0"/>
    </xf>
    <xf borderId="237" fillId="3" fontId="309" numFmtId="0" xfId="0" applyAlignment="1" applyBorder="1" applyFont="1">
      <alignment horizontal="center" readingOrder="0" vertical="center"/>
    </xf>
    <xf borderId="141" fillId="0" fontId="3" numFmtId="0" xfId="0" applyBorder="1" applyFont="1"/>
    <xf borderId="238" fillId="0" fontId="3" numFmtId="0" xfId="0" applyBorder="1" applyFont="1"/>
    <xf borderId="239" fillId="0" fontId="3" numFmtId="0" xfId="0" applyBorder="1" applyFont="1"/>
    <xf borderId="6" fillId="67" fontId="97" numFmtId="0" xfId="0" applyAlignment="1" applyBorder="1" applyFill="1" applyFont="1">
      <alignment horizontal="center" readingOrder="0" vertical="center"/>
    </xf>
    <xf borderId="240" fillId="32" fontId="29" numFmtId="0" xfId="0" applyAlignment="1" applyBorder="1" applyFont="1">
      <alignment horizontal="center" readingOrder="0" vertical="center"/>
    </xf>
    <xf borderId="241" fillId="32" fontId="310" numFmtId="0" xfId="0" applyAlignment="1" applyBorder="1" applyFont="1">
      <alignment horizontal="center" readingOrder="0" vertical="center"/>
    </xf>
    <xf borderId="242" fillId="32" fontId="311" numFmtId="0" xfId="0" applyAlignment="1" applyBorder="1" applyFont="1">
      <alignment horizontal="center" readingOrder="0" vertical="center"/>
    </xf>
    <xf borderId="241" fillId="32" fontId="311" numFmtId="0" xfId="0" applyAlignment="1" applyBorder="1" applyFont="1">
      <alignment horizontal="center" readingOrder="0" vertical="center"/>
    </xf>
    <xf borderId="240" fillId="0" fontId="65" numFmtId="0" xfId="0" applyAlignment="1" applyBorder="1" applyFont="1">
      <alignment horizontal="center" readingOrder="0" vertical="center"/>
    </xf>
    <xf borderId="241" fillId="0" fontId="81" numFmtId="0" xfId="0" applyAlignment="1" applyBorder="1" applyFont="1">
      <alignment horizontal="center" readingOrder="0" vertical="center"/>
    </xf>
    <xf borderId="241" fillId="0" fontId="65" numFmtId="0" xfId="0" applyAlignment="1" applyBorder="1" applyFont="1">
      <alignment horizontal="center" readingOrder="0" vertical="center"/>
    </xf>
    <xf borderId="243" fillId="0" fontId="65" numFmtId="0" xfId="0" applyAlignment="1" applyBorder="1" applyFont="1">
      <alignment horizontal="center" readingOrder="0" vertical="center"/>
    </xf>
    <xf borderId="12" fillId="2" fontId="240" numFmtId="0" xfId="0" applyAlignment="1" applyBorder="1" applyFont="1">
      <alignment horizontal="left" readingOrder="0"/>
    </xf>
    <xf borderId="241" fillId="4" fontId="1" numFmtId="0" xfId="0" applyAlignment="1" applyBorder="1" applyFont="1">
      <alignment horizontal="center" readingOrder="0" vertical="center"/>
    </xf>
    <xf borderId="244" fillId="0" fontId="65" numFmtId="0" xfId="0" applyAlignment="1" applyBorder="1" applyFont="1">
      <alignment horizontal="center" readingOrder="0"/>
    </xf>
    <xf borderId="244" fillId="0" fontId="65" numFmtId="0" xfId="0" applyAlignment="1" applyBorder="1" applyFont="1">
      <alignment horizontal="center" readingOrder="0" vertical="center"/>
    </xf>
    <xf borderId="245" fillId="0" fontId="65" numFmtId="0" xfId="0" applyAlignment="1" applyBorder="1" applyFont="1">
      <alignment horizontal="center" readingOrder="0" vertical="center"/>
    </xf>
    <xf borderId="245" fillId="0" fontId="81" numFmtId="0" xfId="0" applyAlignment="1" applyBorder="1" applyFont="1">
      <alignment horizontal="center" readingOrder="0" vertical="center"/>
    </xf>
    <xf borderId="243" fillId="0" fontId="65" numFmtId="0" xfId="0" applyAlignment="1" applyBorder="1" applyFont="1">
      <alignment horizontal="center" readingOrder="0"/>
    </xf>
    <xf borderId="241" fillId="0" fontId="65" numFmtId="0" xfId="0" applyAlignment="1" applyBorder="1" applyFont="1">
      <alignment horizontal="center" readingOrder="0"/>
    </xf>
    <xf borderId="242" fillId="0" fontId="65" numFmtId="0" xfId="0" applyAlignment="1" applyBorder="1" applyFont="1">
      <alignment horizontal="center" readingOrder="0"/>
    </xf>
    <xf borderId="242" fillId="0" fontId="3" numFmtId="0" xfId="0" applyBorder="1" applyFont="1"/>
    <xf borderId="242" fillId="0" fontId="65" numFmtId="0" xfId="0" applyAlignment="1" applyBorder="1" applyFont="1">
      <alignment horizontal="center" readingOrder="0" vertical="center"/>
    </xf>
    <xf borderId="241" fillId="0" fontId="3" numFmtId="0" xfId="0" applyBorder="1" applyFont="1"/>
    <xf borderId="243" fillId="0" fontId="81" numFmtId="0" xfId="0" applyAlignment="1" applyBorder="1" applyFont="1">
      <alignment horizontal="center" readingOrder="0" vertical="center"/>
    </xf>
    <xf borderId="14" fillId="2" fontId="240" numFmtId="0" xfId="0" applyAlignment="1" applyBorder="1" applyFont="1">
      <alignment horizontal="left" readingOrder="0"/>
    </xf>
    <xf borderId="241" fillId="0" fontId="65" numFmtId="0" xfId="0" applyAlignment="1" applyBorder="1" applyFont="1">
      <alignment horizontal="center" readingOrder="0" shrinkToFit="0" vertical="center" wrapText="1"/>
    </xf>
    <xf borderId="245" fillId="0" fontId="65" numFmtId="0" xfId="0" applyAlignment="1" applyBorder="1" applyFont="1">
      <alignment horizontal="center" readingOrder="0" shrinkToFit="0" vertical="center" wrapText="1"/>
    </xf>
    <xf borderId="38" fillId="2" fontId="240" numFmtId="0" xfId="0" applyAlignment="1" applyBorder="1" applyFont="1">
      <alignment horizontal="left" readingOrder="0"/>
    </xf>
    <xf borderId="39" fillId="2" fontId="240" numFmtId="0" xfId="0" applyAlignment="1" applyBorder="1" applyFont="1">
      <alignment horizontal="left" readingOrder="0"/>
    </xf>
    <xf borderId="243" fillId="0" fontId="3" numFmtId="0" xfId="0" applyBorder="1" applyFont="1"/>
    <xf borderId="246" fillId="0" fontId="65" numFmtId="0" xfId="0" applyAlignment="1" applyBorder="1" applyFont="1">
      <alignment horizontal="center" readingOrder="0" vertical="center"/>
    </xf>
    <xf borderId="11" fillId="2" fontId="1" numFmtId="0" xfId="0" applyAlignment="1" applyBorder="1" applyFont="1">
      <alignment horizontal="left" readingOrder="0"/>
    </xf>
    <xf borderId="240" fillId="32" fontId="29" numFmtId="0" xfId="0" applyAlignment="1" applyBorder="1" applyFont="1">
      <alignment horizontal="center" readingOrder="0"/>
    </xf>
    <xf borderId="241" fillId="32" fontId="310" numFmtId="0" xfId="0" applyAlignment="1" applyBorder="1" applyFont="1">
      <alignment horizontal="center" readingOrder="0"/>
    </xf>
    <xf borderId="242" fillId="32" fontId="97" numFmtId="0" xfId="0" applyAlignment="1" applyBorder="1" applyFont="1">
      <alignment horizontal="center" readingOrder="0"/>
    </xf>
    <xf borderId="240" fillId="0" fontId="81" numFmtId="0" xfId="0" applyAlignment="1" applyBorder="1" applyFont="1">
      <alignment horizontal="center" readingOrder="0" vertical="center"/>
    </xf>
    <xf borderId="242" fillId="0" fontId="312" numFmtId="0" xfId="0" applyAlignment="1" applyBorder="1" applyFont="1">
      <alignment horizontal="center" readingOrder="0" vertical="center"/>
    </xf>
    <xf borderId="10" fillId="2" fontId="1" numFmtId="0" xfId="0" applyAlignment="1" applyBorder="1" applyFont="1">
      <alignment horizontal="left" readingOrder="0"/>
    </xf>
    <xf borderId="247" fillId="0" fontId="65" numFmtId="0" xfId="0" applyAlignment="1" applyBorder="1" applyFont="1">
      <alignment horizontal="center" readingOrder="0" vertical="center"/>
    </xf>
    <xf borderId="53" fillId="2" fontId="13" numFmtId="0" xfId="0" applyAlignment="1" applyBorder="1" applyFont="1">
      <alignment vertical="bottom"/>
    </xf>
    <xf borderId="15" fillId="8" fontId="313" numFmtId="0" xfId="0" applyAlignment="1" applyBorder="1" applyFont="1">
      <alignment horizontal="center"/>
    </xf>
    <xf borderId="35" fillId="20" fontId="314" numFmtId="0" xfId="0" applyAlignment="1" applyBorder="1" applyFont="1">
      <alignment horizontal="center" readingOrder="0"/>
    </xf>
    <xf borderId="25" fillId="20" fontId="315" numFmtId="0" xfId="0" applyAlignment="1" applyBorder="1" applyFont="1">
      <alignment horizontal="center" readingOrder="0"/>
    </xf>
    <xf borderId="248" fillId="20" fontId="316" numFmtId="0" xfId="0" applyAlignment="1" applyBorder="1" applyFont="1">
      <alignment horizontal="center" readingOrder="0"/>
    </xf>
    <xf borderId="71" fillId="20" fontId="317" numFmtId="0" xfId="0" applyAlignment="1" applyBorder="1" applyFont="1">
      <alignment horizontal="center" readingOrder="0"/>
    </xf>
    <xf borderId="72" fillId="20" fontId="318" numFmtId="0" xfId="0" applyAlignment="1" applyBorder="1" applyFont="1">
      <alignment horizontal="center" readingOrder="0"/>
    </xf>
    <xf borderId="34" fillId="20" fontId="319" numFmtId="0" xfId="0" applyAlignment="1" applyBorder="1" applyFont="1">
      <alignment horizontal="center" readingOrder="0"/>
    </xf>
    <xf borderId="117" fillId="20" fontId="320" numFmtId="0" xfId="0" applyAlignment="1" applyBorder="1" applyFont="1">
      <alignment horizontal="center" readingOrder="0" vertical="bottom"/>
    </xf>
    <xf borderId="63" fillId="20" fontId="321" numFmtId="0" xfId="0" applyAlignment="1" applyBorder="1" applyFont="1">
      <alignment horizontal="center" readingOrder="0" vertical="bottom"/>
    </xf>
    <xf borderId="70" fillId="20" fontId="322" numFmtId="0" xfId="0" applyAlignment="1" applyBorder="1" applyFont="1">
      <alignment horizontal="center" readingOrder="0" vertical="bottom"/>
    </xf>
    <xf borderId="63" fillId="20" fontId="323" numFmtId="0" xfId="0" applyAlignment="1" applyBorder="1" applyFont="1">
      <alignment horizontal="center" vertical="bottom"/>
    </xf>
    <xf borderId="117" fillId="20" fontId="324" numFmtId="0" xfId="0" applyAlignment="1" applyBorder="1" applyFont="1">
      <alignment horizontal="center" vertical="bottom"/>
    </xf>
    <xf borderId="45" fillId="20" fontId="325" numFmtId="0" xfId="0" applyAlignment="1" applyBorder="1" applyFont="1">
      <alignment horizontal="center" readingOrder="0" vertical="bottom"/>
    </xf>
    <xf borderId="63" fillId="20" fontId="326" numFmtId="0" xfId="0" applyAlignment="1" applyBorder="1" applyFont="1">
      <alignment horizontal="center" readingOrder="0" vertical="bottom"/>
    </xf>
    <xf borderId="70" fillId="20" fontId="327" numFmtId="0" xfId="0" applyAlignment="1" applyBorder="1" applyFont="1">
      <alignment horizontal="center" readingOrder="0" vertical="bottom"/>
    </xf>
    <xf borderId="61" fillId="20" fontId="328" numFmtId="0" xfId="0" applyAlignment="1" applyBorder="1" applyFont="1">
      <alignment horizontal="center" vertical="bottom"/>
    </xf>
    <xf borderId="45" fillId="20" fontId="329" numFmtId="0" xfId="0" applyAlignment="1" applyBorder="1" applyFont="1">
      <alignment horizontal="center" vertical="bottom"/>
    </xf>
    <xf borderId="249" fillId="20" fontId="29" numFmtId="0" xfId="0" applyAlignment="1" applyBorder="1" applyFont="1">
      <alignment horizontal="center" readingOrder="0"/>
    </xf>
    <xf borderId="27" fillId="20" fontId="29" numFmtId="0" xfId="0" applyAlignment="1" applyBorder="1" applyFont="1">
      <alignment horizontal="center" readingOrder="0"/>
    </xf>
    <xf borderId="26" fillId="20" fontId="29" numFmtId="0" xfId="0" applyAlignment="1" applyBorder="1" applyFont="1">
      <alignment horizontal="center" readingOrder="0"/>
    </xf>
    <xf borderId="60" fillId="20" fontId="29" numFmtId="0" xfId="0" applyAlignment="1" applyBorder="1" applyFont="1">
      <alignment horizontal="center" readingOrder="0"/>
    </xf>
    <xf borderId="250" fillId="20" fontId="29" numFmtId="0" xfId="0" applyAlignment="1" applyBorder="1" applyFont="1">
      <alignment horizontal="center" readingOrder="0"/>
    </xf>
    <xf borderId="35" fillId="20" fontId="13" numFmtId="0" xfId="0" applyAlignment="1" applyBorder="1" applyFont="1">
      <alignment vertical="bottom"/>
    </xf>
    <xf borderId="25" fillId="20" fontId="13" numFmtId="0" xfId="0" applyAlignment="1" applyBorder="1" applyFont="1">
      <alignment vertical="bottom"/>
    </xf>
    <xf borderId="33" fillId="20" fontId="29" numFmtId="0" xfId="0" applyAlignment="1" applyBorder="1" applyFont="1">
      <alignment horizontal="center" readingOrder="0"/>
    </xf>
    <xf borderId="135" fillId="20" fontId="269" numFmtId="0" xfId="0" applyAlignment="1" applyBorder="1" applyFont="1">
      <alignment vertical="bottom"/>
    </xf>
    <xf borderId="69" fillId="20" fontId="269" numFmtId="0" xfId="0" applyAlignment="1" applyBorder="1" applyFont="1">
      <alignment vertical="bottom"/>
    </xf>
    <xf borderId="251" fillId="20" fontId="269" numFmtId="0" xfId="0" applyAlignment="1" applyBorder="1" applyFont="1">
      <alignment vertical="bottom"/>
    </xf>
    <xf borderId="0" fillId="20" fontId="269" numFmtId="0" xfId="0" applyAlignment="1" applyFont="1">
      <alignment vertical="bottom"/>
    </xf>
    <xf borderId="31" fillId="20" fontId="269" numFmtId="0" xfId="0" applyAlignment="1" applyBorder="1" applyFont="1">
      <alignment vertical="bottom"/>
    </xf>
    <xf borderId="47" fillId="20" fontId="269" numFmtId="0" xfId="0" applyAlignment="1" applyBorder="1" applyFont="1">
      <alignment vertical="bottom"/>
    </xf>
    <xf borderId="31" fillId="0" fontId="65" numFmtId="0" xfId="0" applyAlignment="1" applyBorder="1" applyFont="1">
      <alignment horizontal="center" readingOrder="0" vertical="center"/>
    </xf>
    <xf borderId="0" fillId="4" fontId="67" numFmtId="0" xfId="0" applyAlignment="1" applyFont="1">
      <alignment horizontal="center" readingOrder="0"/>
    </xf>
    <xf borderId="31" fillId="4" fontId="67" numFmtId="0" xfId="0" applyAlignment="1" applyBorder="1" applyFont="1">
      <alignment horizontal="center" readingOrder="0"/>
    </xf>
    <xf borderId="30" fillId="4" fontId="80" numFmtId="0" xfId="0" applyAlignment="1" applyBorder="1" applyFont="1">
      <alignment horizontal="center"/>
    </xf>
    <xf borderId="0" fillId="4" fontId="80" numFmtId="0" xfId="0" applyAlignment="1" applyFont="1">
      <alignment horizontal="center"/>
    </xf>
    <xf borderId="31" fillId="4" fontId="80" numFmtId="0" xfId="0" applyAlignment="1" applyBorder="1" applyFont="1">
      <alignment horizontal="center"/>
    </xf>
    <xf borderId="30" fillId="22" fontId="1" numFmtId="0" xfId="0" applyAlignment="1" applyBorder="1" applyFont="1">
      <alignment horizontal="center"/>
    </xf>
    <xf borderId="0" fillId="22" fontId="1" numFmtId="0" xfId="0" applyAlignment="1" applyFont="1">
      <alignment horizontal="center"/>
    </xf>
    <xf borderId="31" fillId="21" fontId="1" numFmtId="0" xfId="0" applyAlignment="1" applyBorder="1" applyFont="1">
      <alignment horizontal="center"/>
    </xf>
    <xf borderId="0" fillId="0" fontId="67" numFmtId="0" xfId="0" applyAlignment="1" applyFont="1">
      <alignment horizontal="center" readingOrder="0" vertical="center"/>
    </xf>
    <xf borderId="30" fillId="22" fontId="1" numFmtId="0" xfId="0" applyAlignment="1" applyBorder="1" applyFont="1">
      <alignment horizontal="center" vertical="bottom"/>
    </xf>
    <xf borderId="0" fillId="21" fontId="1" numFmtId="0" xfId="0" applyAlignment="1" applyFont="1">
      <alignment horizontal="center" vertical="bottom"/>
    </xf>
    <xf borderId="0" fillId="22" fontId="1" numFmtId="0" xfId="0" applyAlignment="1" applyFont="1">
      <alignment horizontal="center" vertical="bottom"/>
    </xf>
    <xf borderId="31" fillId="22" fontId="1" numFmtId="0" xfId="0" applyAlignment="1" applyBorder="1" applyFont="1">
      <alignment horizontal="center" vertical="bottom"/>
    </xf>
    <xf borderId="0" fillId="5" fontId="330" numFmtId="0" xfId="0" applyAlignment="1" applyFont="1">
      <alignment readingOrder="0" vertical="bottom"/>
    </xf>
    <xf borderId="0" fillId="4" fontId="67" numFmtId="0" xfId="0" applyAlignment="1" applyFont="1">
      <alignment horizontal="center"/>
    </xf>
    <xf borderId="31" fillId="4" fontId="67" numFmtId="0" xfId="0" applyAlignment="1" applyBorder="1" applyFont="1">
      <alignment horizontal="center"/>
    </xf>
    <xf borderId="30" fillId="0" fontId="65" numFmtId="0" xfId="0" applyAlignment="1" applyBorder="1" applyFont="1">
      <alignment horizontal="center" readingOrder="0" vertical="center"/>
    </xf>
    <xf borderId="30" fillId="4" fontId="80" numFmtId="0" xfId="0" applyAlignment="1" applyBorder="1" applyFont="1">
      <alignment horizontal="center" readingOrder="0"/>
    </xf>
    <xf borderId="0" fillId="4" fontId="80" numFmtId="0" xfId="0" applyAlignment="1" applyFont="1">
      <alignment horizontal="center" readingOrder="0"/>
    </xf>
    <xf borderId="31" fillId="4" fontId="80" numFmtId="0" xfId="0" applyAlignment="1" applyBorder="1" applyFont="1">
      <alignment horizontal="center" readingOrder="0"/>
    </xf>
    <xf borderId="30" fillId="20" fontId="97" numFmtId="0" xfId="0" applyAlignment="1" applyBorder="1" applyFont="1">
      <alignment horizontal="center"/>
    </xf>
    <xf borderId="0" fillId="20" fontId="97" numFmtId="0" xfId="0" applyAlignment="1" applyFont="1">
      <alignment horizontal="center"/>
    </xf>
    <xf borderId="31" fillId="20" fontId="97" numFmtId="0" xfId="0" applyAlignment="1" applyBorder="1" applyFont="1">
      <alignment horizontal="center"/>
    </xf>
    <xf borderId="30" fillId="20" fontId="97" numFmtId="0" xfId="0" applyAlignment="1" applyBorder="1" applyFont="1">
      <alignment horizontal="center" readingOrder="0"/>
    </xf>
    <xf borderId="0" fillId="20" fontId="97" numFmtId="0" xfId="0" applyAlignment="1" applyFont="1">
      <alignment horizontal="center" readingOrder="0"/>
    </xf>
    <xf borderId="31" fillId="20" fontId="97" numFmtId="0" xfId="0" applyAlignment="1" applyBorder="1" applyFont="1">
      <alignment horizontal="center" readingOrder="0"/>
    </xf>
    <xf borderId="30" fillId="4" fontId="80" numFmtId="0" xfId="0" applyAlignment="1" applyBorder="1" applyFont="1">
      <alignment horizontal="center" vertical="bottom"/>
    </xf>
    <xf borderId="0" fillId="4" fontId="80" numFmtId="0" xfId="0" applyAlignment="1" applyFont="1">
      <alignment horizontal="center" vertical="bottom"/>
    </xf>
    <xf borderId="31" fillId="4" fontId="80" numFmtId="0" xfId="0" applyAlignment="1" applyBorder="1" applyFont="1">
      <alignment horizontal="center" vertical="bottom"/>
    </xf>
    <xf borderId="31" fillId="22" fontId="1" numFmtId="0" xfId="0" applyAlignment="1" applyBorder="1" applyFont="1">
      <alignment horizontal="center"/>
    </xf>
    <xf borderId="0" fillId="4" fontId="1" numFmtId="0" xfId="0" applyAlignment="1" applyFont="1">
      <alignment horizontal="center" readingOrder="0"/>
    </xf>
    <xf borderId="0" fillId="21" fontId="1" numFmtId="0" xfId="0" applyAlignment="1" applyFont="1">
      <alignment horizontal="center"/>
    </xf>
    <xf borderId="0" fillId="9" fontId="331" numFmtId="0" xfId="0" applyAlignment="1" applyFont="1">
      <alignment readingOrder="0" vertical="bottom"/>
    </xf>
    <xf borderId="0" fillId="9" fontId="331" numFmtId="0" xfId="0" applyAlignment="1" applyFont="1">
      <alignment readingOrder="0" vertical="bottom"/>
    </xf>
    <xf borderId="45" fillId="4" fontId="67" numFmtId="0" xfId="0" applyAlignment="1" applyBorder="1" applyFont="1">
      <alignment horizontal="center"/>
    </xf>
    <xf borderId="61" fillId="4" fontId="67" numFmtId="0" xfId="0" applyAlignment="1" applyBorder="1" applyFont="1">
      <alignment horizontal="center"/>
    </xf>
    <xf borderId="30" fillId="4" fontId="80" numFmtId="0" xfId="0" applyAlignment="1" applyBorder="1" applyFont="1">
      <alignment horizontal="center" readingOrder="0" vertical="bottom"/>
    </xf>
    <xf borderId="57" fillId="4" fontId="80" numFmtId="0" xfId="0" applyAlignment="1" applyBorder="1" applyFont="1">
      <alignment horizontal="center" readingOrder="0" vertical="bottom"/>
    </xf>
    <xf borderId="69" fillId="4" fontId="80" numFmtId="0" xfId="0" applyAlignment="1" applyBorder="1" applyFont="1">
      <alignment horizontal="center" readingOrder="0" vertical="bottom"/>
    </xf>
    <xf borderId="69" fillId="4" fontId="80" numFmtId="0" xfId="0" applyAlignment="1" applyBorder="1" applyFont="1">
      <alignment horizontal="center" readingOrder="0"/>
    </xf>
    <xf borderId="55" fillId="4" fontId="80" numFmtId="0" xfId="0" applyAlignment="1" applyBorder="1" applyFont="1">
      <alignment horizontal="center" readingOrder="0"/>
    </xf>
    <xf borderId="30" fillId="21" fontId="1" numFmtId="0" xfId="0" applyAlignment="1" applyBorder="1" applyFont="1">
      <alignment horizontal="center" vertical="bottom"/>
    </xf>
    <xf borderId="56" fillId="20" fontId="332" numFmtId="0" xfId="0" applyAlignment="1" applyBorder="1" applyFont="1">
      <alignment horizontal="center"/>
    </xf>
    <xf borderId="56" fillId="20" fontId="60" numFmtId="0" xfId="0" applyAlignment="1" applyBorder="1" applyFont="1">
      <alignment horizontal="center"/>
    </xf>
    <xf borderId="57" fillId="20" fontId="333" numFmtId="0" xfId="0" applyAlignment="1" applyBorder="1" applyFont="1">
      <alignment horizontal="center" readingOrder="0"/>
    </xf>
    <xf borderId="57" fillId="20" fontId="334" numFmtId="0" xfId="0" applyAlignment="1" applyBorder="1" applyFont="1">
      <alignment horizontal="center" readingOrder="0"/>
    </xf>
    <xf borderId="57" fillId="20" fontId="60" numFmtId="0" xfId="0" applyAlignment="1" applyBorder="1" applyFont="1">
      <alignment horizontal="center" readingOrder="0"/>
    </xf>
    <xf borderId="58" fillId="20" fontId="335" numFmtId="0" xfId="0" applyAlignment="1" applyBorder="1" applyFont="1">
      <alignment horizontal="center" readingOrder="0"/>
    </xf>
    <xf borderId="56" fillId="20" fontId="336" numFmtId="0" xfId="0" applyAlignment="1" applyBorder="1" applyFont="1">
      <alignment horizontal="center" readingOrder="0"/>
    </xf>
    <xf borderId="56" fillId="20" fontId="337" numFmtId="0" xfId="0" applyAlignment="1" applyBorder="1" applyFont="1">
      <alignment horizontal="center" readingOrder="0"/>
    </xf>
    <xf borderId="58" fillId="20" fontId="60" numFmtId="0" xfId="0" applyAlignment="1" applyBorder="1" applyFont="1">
      <alignment horizontal="center"/>
    </xf>
    <xf borderId="30" fillId="20" fontId="269" numFmtId="0" xfId="0" applyAlignment="1" applyBorder="1" applyFont="1">
      <alignment vertical="bottom"/>
    </xf>
    <xf borderId="57" fillId="20" fontId="269" numFmtId="0" xfId="0" applyAlignment="1" applyBorder="1" applyFont="1">
      <alignment vertical="bottom"/>
    </xf>
    <xf borderId="55" fillId="20" fontId="269" numFmtId="0" xfId="0" applyAlignment="1" applyBorder="1" applyFont="1">
      <alignment vertical="bottom"/>
    </xf>
    <xf borderId="117" fillId="20" fontId="269" numFmtId="0" xfId="0" applyAlignment="1" applyBorder="1" applyFont="1">
      <alignment vertical="bottom"/>
    </xf>
    <xf borderId="63" fillId="20" fontId="269" numFmtId="0" xfId="0" applyAlignment="1" applyBorder="1" applyFont="1">
      <alignment vertical="bottom"/>
    </xf>
    <xf borderId="44" fillId="20" fontId="269" numFmtId="0" xfId="0" applyAlignment="1" applyBorder="1" applyFont="1">
      <alignment vertical="bottom"/>
    </xf>
    <xf borderId="0" fillId="4" fontId="80" numFmtId="0" xfId="0" applyAlignment="1" applyFont="1">
      <alignment horizontal="center" readingOrder="0" vertical="bottom"/>
    </xf>
    <xf borderId="30" fillId="21" fontId="1" numFmtId="0" xfId="0" applyAlignment="1" applyBorder="1" applyFont="1">
      <alignment horizontal="center"/>
    </xf>
    <xf borderId="0" fillId="7" fontId="338" numFmtId="0" xfId="0" applyAlignment="1" applyFont="1">
      <alignment readingOrder="0" vertical="bottom"/>
    </xf>
    <xf borderId="31" fillId="0" fontId="67" numFmtId="0" xfId="0" applyAlignment="1" applyBorder="1" applyFont="1">
      <alignment horizontal="center" readingOrder="0" vertical="center"/>
    </xf>
    <xf borderId="31" fillId="4" fontId="80" numFmtId="0" xfId="0" applyAlignment="1" applyBorder="1" applyFont="1">
      <alignment horizontal="center" readingOrder="0" vertical="bottom"/>
    </xf>
    <xf borderId="0" fillId="10" fontId="339" numFmtId="0" xfId="0" applyAlignment="1" applyFont="1">
      <alignment readingOrder="0" vertical="bottom"/>
    </xf>
    <xf borderId="0" fillId="21" fontId="88" numFmtId="0" xfId="0" applyAlignment="1" applyFont="1">
      <alignment horizontal="center"/>
    </xf>
    <xf borderId="0" fillId="22" fontId="88" numFmtId="0" xfId="0" applyAlignment="1" applyFont="1">
      <alignment horizontal="center"/>
    </xf>
    <xf borderId="31" fillId="22" fontId="88" numFmtId="0" xfId="0" applyAlignment="1" applyBorder="1" applyFont="1">
      <alignment horizontal="center"/>
    </xf>
    <xf borderId="0" fillId="21" fontId="1" numFmtId="0" xfId="0" applyAlignment="1" applyFont="1">
      <alignment horizontal="center" readingOrder="0" vertical="bottom"/>
    </xf>
    <xf borderId="0" fillId="4" fontId="88" numFmtId="0" xfId="0" applyAlignment="1" applyFont="1">
      <alignment horizontal="center" readingOrder="0"/>
    </xf>
    <xf borderId="73" fillId="26" fontId="65" numFmtId="0" xfId="0" applyAlignment="1" applyBorder="1" applyFont="1">
      <alignment horizontal="center" readingOrder="0" vertical="bottom"/>
    </xf>
    <xf borderId="25" fillId="0" fontId="65" numFmtId="0" xfId="0" applyAlignment="1" applyBorder="1" applyFont="1">
      <alignment horizontal="center" readingOrder="0" vertical="center"/>
    </xf>
    <xf borderId="73" fillId="0" fontId="65" numFmtId="0" xfId="0" applyAlignment="1" applyBorder="1" applyFont="1">
      <alignment horizontal="center" readingOrder="0" vertical="center"/>
    </xf>
    <xf borderId="25" fillId="4" fontId="67" numFmtId="0" xfId="0" applyAlignment="1" applyBorder="1" applyFont="1">
      <alignment horizontal="center" readingOrder="0"/>
    </xf>
    <xf borderId="24" fillId="4" fontId="88" numFmtId="0" xfId="0" applyAlignment="1" applyBorder="1" applyFont="1">
      <alignment horizontal="center" readingOrder="0"/>
    </xf>
    <xf borderId="73" fillId="4" fontId="88" numFmtId="0" xfId="0" applyAlignment="1" applyBorder="1" applyFont="1">
      <alignment horizontal="center" readingOrder="0"/>
    </xf>
    <xf borderId="25" fillId="4" fontId="88" numFmtId="0" xfId="0" applyAlignment="1" applyBorder="1" applyFont="1">
      <alignment horizontal="center" readingOrder="0"/>
    </xf>
    <xf borderId="30" fillId="4" fontId="88" numFmtId="0" xfId="0" applyAlignment="1" applyBorder="1" applyFont="1">
      <alignment horizontal="center" readingOrder="0"/>
    </xf>
    <xf borderId="31" fillId="4" fontId="88" numFmtId="0" xfId="0" applyAlignment="1" applyBorder="1" applyFont="1">
      <alignment horizontal="center" readingOrder="0"/>
    </xf>
    <xf borderId="24" fillId="26" fontId="1" numFmtId="0" xfId="0" applyAlignment="1" applyBorder="1" applyFont="1">
      <alignment horizontal="center" vertical="bottom"/>
    </xf>
    <xf borderId="73" fillId="26" fontId="1" numFmtId="0" xfId="0" applyAlignment="1" applyBorder="1" applyFont="1">
      <alignment horizontal="center" vertical="bottom"/>
    </xf>
    <xf borderId="73" fillId="22" fontId="1" numFmtId="0" xfId="0" applyAlignment="1" applyBorder="1" applyFont="1">
      <alignment horizontal="center" vertical="bottom"/>
    </xf>
    <xf borderId="25" fillId="22" fontId="1" numFmtId="0" xfId="0" applyAlignment="1" applyBorder="1" applyFont="1">
      <alignment horizontal="center" vertical="bottom"/>
    </xf>
    <xf borderId="25" fillId="26" fontId="1" numFmtId="0" xfId="0" applyAlignment="1" applyBorder="1" applyFont="1">
      <alignment horizontal="center" vertical="bottom"/>
    </xf>
    <xf borderId="15" fillId="20" fontId="340" numFmtId="0" xfId="0" applyBorder="1" applyFont="1"/>
    <xf borderId="16" fillId="20" fontId="340" numFmtId="0" xfId="0" applyBorder="1" applyFont="1"/>
    <xf borderId="16" fillId="20" fontId="340" numFmtId="0" xfId="0" applyBorder="1" applyFont="1"/>
    <xf borderId="15" fillId="20" fontId="340" numFmtId="0" xfId="0" applyBorder="1" applyFont="1"/>
    <xf borderId="17" fillId="20" fontId="340" numFmtId="0" xfId="0" applyBorder="1" applyFont="1"/>
    <xf borderId="53" fillId="22" fontId="65" numFmtId="0" xfId="0" applyAlignment="1" applyBorder="1" applyFont="1">
      <alignment horizontal="center" readingOrder="0" vertical="bottom"/>
    </xf>
    <xf borderId="54" fillId="22" fontId="65" numFmtId="0" xfId="0" applyAlignment="1" applyBorder="1" applyFont="1">
      <alignment horizontal="center" vertical="bottom"/>
    </xf>
    <xf borderId="53" fillId="22" fontId="65" numFmtId="0" xfId="0" applyAlignment="1" applyBorder="1" applyFont="1">
      <alignment horizontal="center" vertical="bottom"/>
    </xf>
    <xf borderId="31" fillId="22" fontId="65" numFmtId="0" xfId="0" applyAlignment="1" applyBorder="1" applyFont="1">
      <alignment horizontal="center" vertical="bottom"/>
    </xf>
    <xf borderId="53" fillId="25" fontId="65" numFmtId="0" xfId="0" applyAlignment="1" applyBorder="1" applyFont="1">
      <alignment horizontal="center" readingOrder="0" vertical="bottom"/>
    </xf>
    <xf borderId="54" fillId="25" fontId="65" numFmtId="0" xfId="0" applyAlignment="1" applyBorder="1" applyFont="1">
      <alignment horizontal="center" vertical="bottom"/>
    </xf>
    <xf borderId="53" fillId="25" fontId="65" numFmtId="0" xfId="0" applyAlignment="1" applyBorder="1" applyFont="1">
      <alignment horizontal="center" vertical="bottom"/>
    </xf>
    <xf borderId="31" fillId="25" fontId="65" numFmtId="0" xfId="0" applyAlignment="1" applyBorder="1" applyFont="1">
      <alignment horizontal="center" vertical="bottom"/>
    </xf>
    <xf borderId="53" fillId="26" fontId="65" numFmtId="0" xfId="0" applyAlignment="1" applyBorder="1" applyFont="1">
      <alignment horizontal="center" readingOrder="0" vertical="bottom"/>
    </xf>
    <xf borderId="54" fillId="26" fontId="65" numFmtId="0" xfId="0" applyAlignment="1" applyBorder="1" applyFont="1">
      <alignment horizontal="center" vertical="bottom"/>
    </xf>
    <xf borderId="53" fillId="26" fontId="65" numFmtId="0" xfId="0" applyAlignment="1" applyBorder="1" applyFont="1">
      <alignment horizontal="center" vertical="bottom"/>
    </xf>
    <xf borderId="31" fillId="26" fontId="65" numFmtId="0" xfId="0" applyAlignment="1" applyBorder="1" applyFont="1">
      <alignment horizontal="center" vertical="bottom"/>
    </xf>
    <xf borderId="53" fillId="4" fontId="67" numFmtId="0" xfId="0" applyAlignment="1" applyBorder="1" applyFont="1">
      <alignment horizontal="center" readingOrder="0" vertical="bottom"/>
    </xf>
    <xf borderId="54" fillId="4" fontId="67" numFmtId="0" xfId="0" applyAlignment="1" applyBorder="1" applyFont="1">
      <alignment horizontal="center" vertical="bottom"/>
    </xf>
    <xf borderId="53" fillId="4" fontId="67" numFmtId="0" xfId="0" applyAlignment="1" applyBorder="1" applyFont="1">
      <alignment horizontal="center" vertical="bottom"/>
    </xf>
    <xf borderId="31" fillId="4" fontId="67" numFmtId="0" xfId="0" applyAlignment="1" applyBorder="1" applyFont="1">
      <alignment horizontal="center" vertical="bottom"/>
    </xf>
    <xf borderId="53" fillId="14" fontId="65" numFmtId="0" xfId="0" applyAlignment="1" applyBorder="1" applyFont="1">
      <alignment horizontal="center" vertical="bottom"/>
    </xf>
    <xf borderId="54" fillId="14" fontId="65" numFmtId="0" xfId="0" applyAlignment="1" applyBorder="1" applyFont="1">
      <alignment horizontal="center" vertical="bottom"/>
    </xf>
    <xf borderId="31" fillId="14" fontId="65" numFmtId="0" xfId="0" applyAlignment="1" applyBorder="1" applyFont="1">
      <alignment horizontal="center" vertical="bottom"/>
    </xf>
    <xf borderId="53" fillId="0" fontId="65" numFmtId="0" xfId="0" applyAlignment="1" applyBorder="1" applyFont="1">
      <alignment horizontal="center" vertical="bottom"/>
    </xf>
    <xf borderId="54" fillId="0" fontId="65" numFmtId="0" xfId="0" applyAlignment="1" applyBorder="1" applyFont="1">
      <alignment horizontal="center" vertical="bottom"/>
    </xf>
    <xf borderId="31" fillId="0" fontId="65" numFmtId="0" xfId="0" applyAlignment="1" applyBorder="1" applyFont="1">
      <alignment horizontal="center" vertical="bottom"/>
    </xf>
    <xf borderId="53" fillId="0" fontId="65" numFmtId="9" xfId="0" applyAlignment="1" applyBorder="1" applyFont="1" applyNumberFormat="1">
      <alignment horizontal="center" vertical="bottom"/>
    </xf>
    <xf borderId="54" fillId="0" fontId="65" numFmtId="9" xfId="0" applyAlignment="1" applyBorder="1" applyFont="1" applyNumberFormat="1">
      <alignment horizontal="center" vertical="bottom"/>
    </xf>
    <xf borderId="31" fillId="0" fontId="65" numFmtId="9" xfId="0" applyAlignment="1" applyBorder="1" applyFont="1" applyNumberFormat="1">
      <alignment horizontal="center" vertical="bottom"/>
    </xf>
    <xf borderId="0" fillId="8" fontId="49" numFmtId="0" xfId="0" applyAlignment="1" applyFont="1">
      <alignment horizontal="center" readingOrder="0" vertical="center"/>
    </xf>
    <xf borderId="17" fillId="8" fontId="341" numFmtId="0" xfId="0" applyAlignment="1" applyBorder="1" applyFont="1">
      <alignment horizontal="center" readingOrder="0" vertical="center"/>
    </xf>
    <xf borderId="26" fillId="8" fontId="342" numFmtId="0" xfId="0" applyAlignment="1" applyBorder="1" applyFont="1">
      <alignment horizontal="center" readingOrder="0" vertical="center"/>
    </xf>
    <xf borderId="27" fillId="20" fontId="343" numFmtId="0" xfId="0" applyAlignment="1" applyBorder="1" applyFont="1">
      <alignment horizontal="center" readingOrder="0" vertical="bottom"/>
    </xf>
    <xf borderId="27" fillId="20" fontId="344" numFmtId="0" xfId="0" applyAlignment="1" applyBorder="1" applyFont="1">
      <alignment horizontal="center" vertical="bottom"/>
    </xf>
    <xf borderId="73" fillId="20" fontId="345" numFmtId="0" xfId="0" applyAlignment="1" applyBorder="1" applyFont="1">
      <alignment horizontal="center" readingOrder="0"/>
    </xf>
    <xf borderId="249" fillId="20" fontId="346" numFmtId="0" xfId="0" applyAlignment="1" applyBorder="1" applyFont="1">
      <alignment horizontal="center" vertical="bottom"/>
    </xf>
    <xf borderId="17" fillId="20" fontId="347" numFmtId="0" xfId="0" applyAlignment="1" applyBorder="1" applyFont="1">
      <alignment horizontal="center" vertical="bottom"/>
    </xf>
    <xf borderId="250" fillId="20" fontId="348" numFmtId="0" xfId="0" applyAlignment="1" applyBorder="1" applyFont="1">
      <alignment horizontal="center" vertical="bottom"/>
    </xf>
    <xf borderId="72" fillId="20" fontId="349" numFmtId="0" xfId="0" applyAlignment="1" applyBorder="1" applyFont="1">
      <alignment horizontal="center" readingOrder="0" vertical="bottom"/>
    </xf>
    <xf borderId="0" fillId="20" fontId="350" numFmtId="0" xfId="0" applyAlignment="1" applyFont="1">
      <alignment horizontal="center" vertical="bottom"/>
    </xf>
    <xf borderId="34" fillId="20" fontId="13" numFmtId="0" xfId="0" applyAlignment="1" applyBorder="1" applyFont="1">
      <alignment vertical="bottom"/>
    </xf>
    <xf borderId="31" fillId="20" fontId="13" numFmtId="0" xfId="0" applyAlignment="1" applyBorder="1" applyFont="1">
      <alignment vertical="bottom"/>
    </xf>
    <xf borderId="31" fillId="4" fontId="80" numFmtId="0" xfId="0" applyAlignment="1" applyBorder="1" applyFont="1">
      <alignment horizontal="center" readingOrder="0" vertical="center"/>
    </xf>
    <xf borderId="0" fillId="4" fontId="80" numFmtId="0" xfId="0" applyAlignment="1" applyFont="1">
      <alignment horizontal="center" vertical="center"/>
    </xf>
    <xf borderId="30" fillId="4" fontId="80" numFmtId="0" xfId="0" applyAlignment="1" applyBorder="1" applyFont="1">
      <alignment horizontal="center" readingOrder="0" vertical="center"/>
    </xf>
    <xf borderId="31" fillId="27" fontId="1" numFmtId="0" xfId="0" applyAlignment="1" applyBorder="1" applyFont="1">
      <alignment horizontal="center" readingOrder="0" vertical="center"/>
    </xf>
    <xf borderId="0" fillId="9" fontId="351" numFmtId="0" xfId="0" applyAlignment="1" applyFont="1">
      <alignment horizontal="left" readingOrder="0" vertical="center"/>
    </xf>
    <xf borderId="45" fillId="4" fontId="80" numFmtId="0" xfId="0" applyAlignment="1" applyBorder="1" applyFont="1">
      <alignment horizontal="center" readingOrder="0" vertical="center"/>
    </xf>
    <xf borderId="61" fillId="4" fontId="80" numFmtId="0" xfId="0" applyAlignment="1" applyBorder="1" applyFont="1">
      <alignment horizontal="center" readingOrder="0" vertical="center"/>
    </xf>
    <xf borderId="45" fillId="27" fontId="1" numFmtId="0" xfId="0" applyAlignment="1" applyBorder="1" applyFont="1">
      <alignment horizontal="center" readingOrder="0" vertical="center"/>
    </xf>
    <xf borderId="56" fillId="20" fontId="352" numFmtId="0" xfId="0" applyAlignment="1" applyBorder="1" applyFont="1">
      <alignment horizontal="center" vertical="center"/>
    </xf>
    <xf borderId="58" fillId="20" fontId="63" numFmtId="0" xfId="0" applyAlignment="1" applyBorder="1" applyFont="1">
      <alignment horizontal="center" vertical="center"/>
    </xf>
    <xf borderId="56" fillId="20" fontId="353" numFmtId="0" xfId="0" applyBorder="1" applyFont="1"/>
    <xf borderId="45" fillId="20" fontId="354" numFmtId="0" xfId="0" applyAlignment="1" applyBorder="1" applyFont="1">
      <alignment horizontal="center" vertical="center"/>
    </xf>
    <xf borderId="74" fillId="20" fontId="355" numFmtId="0" xfId="0" applyAlignment="1" applyBorder="1" applyFont="1">
      <alignment horizontal="center" vertical="center"/>
    </xf>
    <xf borderId="124" fillId="20" fontId="356" numFmtId="0" xfId="0" applyAlignment="1" applyBorder="1" applyFont="1">
      <alignment horizontal="center" vertical="center"/>
    </xf>
    <xf borderId="58" fillId="20" fontId="357" numFmtId="0" xfId="0" applyAlignment="1" applyBorder="1" applyFont="1">
      <alignment horizontal="center" vertical="center"/>
    </xf>
    <xf borderId="56" fillId="20" fontId="63" numFmtId="0" xfId="0" applyAlignment="1" applyBorder="1" applyFont="1">
      <alignment horizontal="center" vertical="center"/>
    </xf>
    <xf borderId="74" fillId="27" fontId="1" numFmtId="0" xfId="0" applyAlignment="1" applyBorder="1" applyFont="1">
      <alignment horizontal="center" readingOrder="0" vertical="center"/>
    </xf>
    <xf borderId="73" fillId="4" fontId="80" numFmtId="0" xfId="0" applyAlignment="1" applyBorder="1" applyFont="1">
      <alignment horizontal="center" readingOrder="0" vertical="center"/>
    </xf>
    <xf borderId="25" fillId="4" fontId="80" numFmtId="0" xfId="0" applyAlignment="1" applyBorder="1" applyFont="1">
      <alignment horizontal="center" readingOrder="0" vertical="center"/>
    </xf>
    <xf borderId="73" fillId="27" fontId="1" numFmtId="0" xfId="0" applyAlignment="1" applyBorder="1" applyFont="1">
      <alignment horizontal="center" readingOrder="0" vertical="center"/>
    </xf>
    <xf borderId="115" fillId="4" fontId="80" numFmtId="0" xfId="0" applyAlignment="1" applyBorder="1" applyFont="1">
      <alignment horizontal="center" readingOrder="0" vertical="center"/>
    </xf>
    <xf borderId="20" fillId="20" fontId="63" numFmtId="0" xfId="0" applyAlignment="1" applyBorder="1" applyFont="1">
      <alignment horizontal="center" vertical="center"/>
    </xf>
    <xf borderId="73" fillId="20" fontId="63" numFmtId="0" xfId="0" applyAlignment="1" applyBorder="1" applyFont="1">
      <alignment horizontal="center" vertical="center"/>
    </xf>
    <xf borderId="15" fillId="20" fontId="63" numFmtId="0" xfId="0" applyAlignment="1" applyBorder="1" applyFont="1">
      <alignment horizontal="center" vertical="center"/>
    </xf>
    <xf borderId="31" fillId="22" fontId="81" numFmtId="0" xfId="0" applyAlignment="1" applyBorder="1" applyFont="1">
      <alignment horizontal="right" vertical="bottom"/>
    </xf>
    <xf borderId="47" fillId="22" fontId="81" numFmtId="0" xfId="0" applyAlignment="1" applyBorder="1" applyFont="1">
      <alignment horizontal="right" vertical="bottom"/>
    </xf>
    <xf borderId="0" fillId="22" fontId="81" numFmtId="0" xfId="0" applyAlignment="1" applyFont="1">
      <alignment horizontal="right" vertical="bottom"/>
    </xf>
    <xf borderId="54" fillId="22" fontId="81" numFmtId="0" xfId="0" applyAlignment="1" applyBorder="1" applyFont="1">
      <alignment horizontal="right" vertical="bottom"/>
    </xf>
    <xf borderId="31" fillId="25" fontId="81" numFmtId="0" xfId="0" applyAlignment="1" applyBorder="1" applyFont="1">
      <alignment horizontal="right" vertical="bottom"/>
    </xf>
    <xf borderId="47" fillId="25" fontId="81" numFmtId="0" xfId="0" applyAlignment="1" applyBorder="1" applyFont="1">
      <alignment horizontal="right" vertical="bottom"/>
    </xf>
    <xf borderId="0" fillId="25" fontId="81" numFmtId="0" xfId="0" applyAlignment="1" applyFont="1">
      <alignment horizontal="right" vertical="bottom"/>
    </xf>
    <xf borderId="54" fillId="25" fontId="81" numFmtId="0" xfId="0" applyAlignment="1" applyBorder="1" applyFont="1">
      <alignment horizontal="right" vertical="bottom"/>
    </xf>
    <xf borderId="31" fillId="26" fontId="81" numFmtId="0" xfId="0" applyAlignment="1" applyBorder="1" applyFont="1">
      <alignment horizontal="right" vertical="bottom"/>
    </xf>
    <xf borderId="47" fillId="26" fontId="81" numFmtId="0" xfId="0" applyAlignment="1" applyBorder="1" applyFont="1">
      <alignment horizontal="right" vertical="bottom"/>
    </xf>
    <xf borderId="0" fillId="26" fontId="81" numFmtId="0" xfId="0" applyAlignment="1" applyFont="1">
      <alignment horizontal="right" vertical="bottom"/>
    </xf>
    <xf borderId="54" fillId="26" fontId="81" numFmtId="0" xfId="0" applyAlignment="1" applyBorder="1" applyFont="1">
      <alignment horizontal="right" vertical="bottom"/>
    </xf>
    <xf borderId="31" fillId="4" fontId="80" numFmtId="0" xfId="0" applyAlignment="1" applyBorder="1" applyFont="1">
      <alignment horizontal="right" vertical="bottom"/>
    </xf>
    <xf borderId="47" fillId="4" fontId="80" numFmtId="0" xfId="0" applyAlignment="1" applyBorder="1" applyFont="1">
      <alignment horizontal="right" vertical="bottom"/>
    </xf>
    <xf borderId="0" fillId="4" fontId="80" numFmtId="0" xfId="0" applyAlignment="1" applyFont="1">
      <alignment horizontal="right" vertical="bottom"/>
    </xf>
    <xf borderId="54" fillId="4" fontId="80" numFmtId="0" xfId="0" applyAlignment="1" applyBorder="1" applyFont="1">
      <alignment horizontal="right" vertical="bottom"/>
    </xf>
    <xf borderId="31" fillId="14" fontId="81" numFmtId="0" xfId="0" applyAlignment="1" applyBorder="1" applyFont="1">
      <alignment horizontal="right" vertical="bottom"/>
    </xf>
    <xf borderId="0" fillId="14" fontId="81" numFmtId="0" xfId="0" applyAlignment="1" applyFont="1">
      <alignment horizontal="right" vertical="bottom"/>
    </xf>
    <xf borderId="31" fillId="0" fontId="81" numFmtId="0" xfId="0" applyAlignment="1" applyBorder="1" applyFont="1">
      <alignment horizontal="right" vertical="bottom"/>
    </xf>
    <xf borderId="0" fillId="0" fontId="81" numFmtId="0" xfId="0" applyAlignment="1" applyFont="1">
      <alignment horizontal="right" vertical="bottom"/>
    </xf>
    <xf borderId="54" fillId="0" fontId="81" numFmtId="0" xfId="0" applyAlignment="1" applyBorder="1" applyFont="1">
      <alignment horizontal="right" vertical="bottom"/>
    </xf>
    <xf borderId="32" fillId="0" fontId="81" numFmtId="0" xfId="0" applyAlignment="1" applyBorder="1" applyFont="1">
      <alignment horizontal="right" vertical="bottom"/>
    </xf>
    <xf borderId="61" fillId="0" fontId="81" numFmtId="9" xfId="0" applyAlignment="1" applyBorder="1" applyFont="1" applyNumberFormat="1">
      <alignment horizontal="right" vertical="bottom"/>
    </xf>
    <xf borderId="46" fillId="0" fontId="81" numFmtId="9" xfId="0" applyAlignment="1" applyBorder="1" applyFont="1" applyNumberFormat="1">
      <alignment horizontal="right" vertical="bottom"/>
    </xf>
    <xf borderId="45" fillId="0" fontId="81" numFmtId="9" xfId="0" applyAlignment="1" applyBorder="1" applyFont="1" applyNumberFormat="1">
      <alignment horizontal="right" vertical="bottom"/>
    </xf>
    <xf borderId="117" fillId="0" fontId="81" numFmtId="9" xfId="0" applyAlignment="1" applyBorder="1" applyFont="1" applyNumberFormat="1">
      <alignment horizontal="right" vertical="bottom"/>
    </xf>
    <xf borderId="0" fillId="0" fontId="81" numFmtId="9" xfId="0" applyAlignment="1" applyFont="1" applyNumberFormat="1">
      <alignment horizontal="right" vertical="bottom"/>
    </xf>
    <xf borderId="0" fillId="9" fontId="19" numFmtId="0" xfId="0" applyAlignment="1" applyFont="1">
      <alignment horizontal="center" readingOrder="0" vertical="top"/>
    </xf>
    <xf borderId="0" fillId="20" fontId="26" numFmtId="0" xfId="0" applyAlignment="1" applyFont="1">
      <alignment horizontal="center" vertical="bottom"/>
    </xf>
    <xf borderId="71" fillId="20" fontId="269" numFmtId="0" xfId="0" applyAlignment="1" applyBorder="1" applyFont="1">
      <alignment vertical="bottom"/>
    </xf>
    <xf borderId="252" fillId="20" fontId="29" numFmtId="0" xfId="0" applyAlignment="1" applyBorder="1" applyFont="1">
      <alignment horizontal="center" readingOrder="0"/>
    </xf>
    <xf borderId="35" fillId="20" fontId="269" numFmtId="0" xfId="0" applyAlignment="1" applyBorder="1" applyFont="1">
      <alignment vertical="bottom"/>
    </xf>
    <xf borderId="0" fillId="20" fontId="269" numFmtId="0" xfId="0" applyAlignment="1" applyFont="1">
      <alignment vertical="bottom"/>
    </xf>
    <xf borderId="53" fillId="21" fontId="1" numFmtId="0" xfId="0" applyAlignment="1" applyBorder="1" applyFont="1">
      <alignment horizontal="center"/>
    </xf>
    <xf borderId="47" fillId="22" fontId="1" numFmtId="0" xfId="0" applyAlignment="1" applyBorder="1" applyFont="1">
      <alignment horizontal="center"/>
    </xf>
    <xf borderId="53" fillId="22" fontId="1" numFmtId="0" xfId="0" applyAlignment="1" applyBorder="1" applyFont="1">
      <alignment horizontal="center"/>
    </xf>
    <xf borderId="47" fillId="4" fontId="80" numFmtId="0" xfId="0" applyAlignment="1" applyBorder="1" applyFont="1">
      <alignment horizontal="center"/>
    </xf>
    <xf borderId="47" fillId="10" fontId="23" numFmtId="0" xfId="0" applyAlignment="1" applyBorder="1" applyFont="1">
      <alignment horizontal="center" vertical="center"/>
    </xf>
    <xf borderId="50" fillId="10" fontId="358" numFmtId="0" xfId="0" applyAlignment="1" applyBorder="1" applyFont="1">
      <alignment readingOrder="0" vertical="bottom"/>
    </xf>
    <xf borderId="47" fillId="20" fontId="97" numFmtId="0" xfId="0" applyAlignment="1" applyBorder="1" applyFont="1">
      <alignment horizontal="center"/>
    </xf>
    <xf borderId="53" fillId="20" fontId="97" numFmtId="0" xfId="0" applyAlignment="1" applyBorder="1" applyFont="1">
      <alignment horizontal="center"/>
    </xf>
    <xf borderId="0" fillId="20" fontId="97" numFmtId="0" xfId="0" applyAlignment="1" applyFont="1">
      <alignment horizontal="center" vertical="bottom"/>
    </xf>
    <xf borderId="50" fillId="10" fontId="57" numFmtId="0" xfId="0" applyAlignment="1" applyBorder="1" applyFont="1">
      <alignment readingOrder="0" vertical="bottom"/>
    </xf>
    <xf borderId="53" fillId="4" fontId="80" numFmtId="0" xfId="0" applyAlignment="1" applyBorder="1" applyFont="1">
      <alignment horizontal="center"/>
    </xf>
    <xf borderId="50" fillId="4" fontId="80" numFmtId="0" xfId="0" applyAlignment="1" applyBorder="1" applyFont="1">
      <alignment horizontal="center"/>
    </xf>
    <xf borderId="47" fillId="42" fontId="359" numFmtId="0" xfId="0" applyAlignment="1" applyBorder="1" applyFont="1">
      <alignment horizontal="center" readingOrder="0" vertical="center"/>
    </xf>
    <xf borderId="50" fillId="42" fontId="245" numFmtId="0" xfId="0" applyAlignment="1" applyBorder="1" applyFont="1">
      <alignment readingOrder="0" vertical="center"/>
    </xf>
    <xf borderId="50" fillId="42" fontId="360" numFmtId="0" xfId="0" applyAlignment="1" applyBorder="1" applyFont="1">
      <alignment readingOrder="0" vertical="center"/>
    </xf>
    <xf borderId="50" fillId="42" fontId="360" numFmtId="0" xfId="0" applyAlignment="1" applyBorder="1" applyFont="1">
      <alignment readingOrder="0"/>
    </xf>
    <xf borderId="45" fillId="4" fontId="80" numFmtId="0" xfId="0" applyAlignment="1" applyBorder="1" applyFont="1">
      <alignment horizontal="center"/>
    </xf>
    <xf borderId="46" fillId="4" fontId="80" numFmtId="0" xfId="0" applyAlignment="1" applyBorder="1" applyFont="1">
      <alignment horizontal="center"/>
    </xf>
    <xf borderId="44" fillId="4" fontId="80" numFmtId="0" xfId="0" applyAlignment="1" applyBorder="1" applyFont="1">
      <alignment horizontal="center"/>
    </xf>
    <xf borderId="45" fillId="4" fontId="80" numFmtId="0" xfId="0" applyAlignment="1" applyBorder="1" applyFont="1">
      <alignment horizontal="center" vertical="bottom"/>
    </xf>
    <xf borderId="56" fillId="20" fontId="361" numFmtId="0" xfId="0" applyAlignment="1" applyBorder="1" applyFont="1">
      <alignment horizontal="center" readingOrder="0" vertical="center"/>
    </xf>
    <xf borderId="56" fillId="20" fontId="362" numFmtId="0" xfId="0" applyAlignment="1" applyBorder="1" applyFont="1">
      <alignment readingOrder="0"/>
    </xf>
    <xf borderId="57" fillId="20" fontId="363" numFmtId="0" xfId="0" applyBorder="1" applyFont="1"/>
    <xf borderId="0" fillId="20" fontId="340" numFmtId="0" xfId="0" applyFont="1"/>
    <xf borderId="47" fillId="21" fontId="1" numFmtId="0" xfId="0" applyAlignment="1" applyBorder="1" applyFont="1">
      <alignment horizontal="center"/>
    </xf>
    <xf borderId="47" fillId="40" fontId="4" numFmtId="0" xfId="0" applyAlignment="1" applyBorder="1" applyFont="1">
      <alignment horizontal="center" readingOrder="0" vertical="center"/>
    </xf>
    <xf borderId="0" fillId="40" fontId="29" numFmtId="0" xfId="0" applyAlignment="1" applyFont="1">
      <alignment readingOrder="0" vertical="bottom"/>
    </xf>
    <xf borderId="0" fillId="40" fontId="56" numFmtId="0" xfId="0" applyAlignment="1" applyFont="1">
      <alignment readingOrder="0" vertical="bottom"/>
    </xf>
    <xf borderId="50" fillId="34" fontId="17" numFmtId="0" xfId="0" applyAlignment="1" applyBorder="1" applyFont="1">
      <alignment horizontal="center" readingOrder="0" vertical="center"/>
    </xf>
    <xf borderId="0" fillId="34" fontId="351" numFmtId="0" xfId="0" applyAlignment="1" applyFont="1">
      <alignment readingOrder="0" vertical="center"/>
    </xf>
    <xf borderId="47" fillId="4" fontId="80" numFmtId="0" xfId="0" applyAlignment="1" applyBorder="1" applyFont="1">
      <alignment horizontal="center" readingOrder="0"/>
    </xf>
    <xf borderId="47" fillId="20" fontId="97" numFmtId="0" xfId="0" applyAlignment="1" applyBorder="1" applyFont="1">
      <alignment horizontal="center" vertical="bottom"/>
    </xf>
    <xf borderId="53" fillId="20" fontId="97" numFmtId="0" xfId="0" applyAlignment="1" applyBorder="1" applyFont="1">
      <alignment horizontal="center" vertical="bottom"/>
    </xf>
    <xf borderId="0" fillId="34" fontId="18" numFmtId="0" xfId="0" applyAlignment="1" applyFont="1">
      <alignment readingOrder="0" vertical="center"/>
    </xf>
    <xf borderId="0" fillId="34" fontId="61" numFmtId="0" xfId="0" applyAlignment="1" applyFont="1">
      <alignment readingOrder="0" vertical="center"/>
    </xf>
    <xf borderId="73" fillId="4" fontId="80" numFmtId="0" xfId="0" applyAlignment="1" applyBorder="1" applyFont="1">
      <alignment horizontal="center"/>
    </xf>
    <xf borderId="35" fillId="4" fontId="80" numFmtId="0" xfId="0" applyAlignment="1" applyBorder="1" applyFont="1">
      <alignment horizontal="center"/>
    </xf>
    <xf borderId="15" fillId="20" fontId="340" numFmtId="0" xfId="0" applyAlignment="1" applyBorder="1" applyFont="1">
      <alignment readingOrder="0"/>
    </xf>
    <xf borderId="16" fillId="20" fontId="340" numFmtId="0" xfId="0" applyAlignment="1" applyBorder="1" applyFont="1">
      <alignment readingOrder="0"/>
    </xf>
    <xf borderId="73" fillId="20" fontId="364" numFmtId="0" xfId="0" applyAlignment="1" applyBorder="1" applyFont="1">
      <alignment vertical="bottom"/>
    </xf>
    <xf borderId="27" fillId="20" fontId="340" numFmtId="0" xfId="0" applyAlignment="1" applyBorder="1" applyFont="1">
      <alignment readingOrder="0"/>
    </xf>
    <xf borderId="0" fillId="20" fontId="340" numFmtId="0" xfId="0" applyAlignment="1" applyFont="1">
      <alignment readingOrder="0"/>
    </xf>
    <xf borderId="47" fillId="4" fontId="80" numFmtId="0" xfId="0" applyAlignment="1" applyBorder="1" applyFont="1">
      <alignment horizontal="center" readingOrder="0" vertical="center"/>
    </xf>
    <xf borderId="47" fillId="4" fontId="80" numFmtId="0" xfId="0" applyAlignment="1" applyBorder="1" applyFont="1">
      <alignment horizontal="center" vertical="center"/>
    </xf>
    <xf borderId="50" fillId="10" fontId="24" numFmtId="0" xfId="0" applyAlignment="1" applyBorder="1" applyFont="1">
      <alignment readingOrder="0" vertical="bottom"/>
    </xf>
    <xf borderId="50" fillId="42" fontId="245" numFmtId="0" xfId="0" applyAlignment="1" applyBorder="1" applyFont="1">
      <alignment readingOrder="0"/>
    </xf>
    <xf borderId="46" fillId="4" fontId="80" numFmtId="0" xfId="0" applyAlignment="1" applyBorder="1" applyFont="1">
      <alignment horizontal="center" vertical="center"/>
    </xf>
    <xf borderId="56" fillId="20" fontId="365" numFmtId="0" xfId="0" applyAlignment="1" applyBorder="1" applyFont="1">
      <alignment horizontal="center" vertical="center"/>
    </xf>
    <xf borderId="56" fillId="20" fontId="366" numFmtId="0" xfId="0" applyAlignment="1" applyBorder="1" applyFont="1">
      <alignment vertical="center"/>
    </xf>
    <xf borderId="46" fillId="20" fontId="367" numFmtId="0" xfId="0" applyAlignment="1" applyBorder="1" applyFont="1">
      <alignment horizontal="center" readingOrder="0" vertical="center"/>
    </xf>
    <xf borderId="57" fillId="20" fontId="368" numFmtId="0" xfId="0" applyAlignment="1" applyBorder="1" applyFont="1">
      <alignment vertical="center"/>
    </xf>
    <xf borderId="0" fillId="7" fontId="369" numFmtId="0" xfId="0" applyAlignment="1" applyFont="1">
      <alignment horizontal="left" readingOrder="0" vertical="center"/>
    </xf>
    <xf borderId="47" fillId="20" fontId="97" numFmtId="0" xfId="0" applyAlignment="1" applyBorder="1" applyFont="1">
      <alignment horizontal="center" vertical="center"/>
    </xf>
    <xf borderId="0" fillId="20" fontId="97" numFmtId="0" xfId="0" applyAlignment="1" applyFont="1">
      <alignment horizontal="center" vertical="center"/>
    </xf>
    <xf borderId="0" fillId="7" fontId="22" numFmtId="0" xfId="0" applyAlignment="1" applyFont="1">
      <alignment horizontal="left" readingOrder="0" vertical="center"/>
    </xf>
    <xf borderId="63" fillId="34" fontId="17" numFmtId="0" xfId="0" applyAlignment="1" applyBorder="1" applyFont="1">
      <alignment horizontal="center" readingOrder="0" vertical="center"/>
    </xf>
    <xf borderId="73" fillId="4" fontId="80" numFmtId="0" xfId="0" applyAlignment="1" applyBorder="1" applyFont="1">
      <alignment horizontal="center" vertical="center"/>
    </xf>
    <xf borderId="35" fillId="4" fontId="80" numFmtId="0" xfId="0" applyAlignment="1" applyBorder="1" applyFont="1">
      <alignment horizontal="center" vertical="center"/>
    </xf>
    <xf borderId="35" fillId="20" fontId="364" numFmtId="0" xfId="0" applyAlignment="1" applyBorder="1" applyFont="1">
      <alignment shrinkToFit="0" vertical="bottom" wrapText="0"/>
    </xf>
    <xf borderId="53" fillId="20" fontId="370" numFmtId="0" xfId="0" applyAlignment="1" applyBorder="1" applyFont="1">
      <alignment horizontal="center" readingOrder="0" vertical="bottom"/>
    </xf>
    <xf borderId="253" fillId="0" fontId="3" numFmtId="0" xfId="0" applyBorder="1" applyFont="1"/>
    <xf borderId="0" fillId="20" fontId="371" numFmtId="0" xfId="0" applyAlignment="1" applyFont="1">
      <alignment horizontal="center" vertical="bottom"/>
    </xf>
    <xf borderId="253" fillId="8" fontId="13" numFmtId="0" xfId="0" applyAlignment="1" applyBorder="1" applyFont="1">
      <alignment vertical="bottom"/>
    </xf>
    <xf borderId="254" fillId="20" fontId="371" numFmtId="0" xfId="0" applyAlignment="1" applyBorder="1" applyFont="1">
      <alignment vertical="bottom"/>
    </xf>
    <xf borderId="255" fillId="0" fontId="3" numFmtId="0" xfId="0" applyBorder="1" applyFont="1"/>
    <xf borderId="256" fillId="0" fontId="3" numFmtId="0" xfId="0" applyBorder="1" applyFont="1"/>
    <xf borderId="257" fillId="0" fontId="3" numFmtId="0" xfId="0" applyBorder="1" applyFont="1"/>
    <xf borderId="254" fillId="0" fontId="3" numFmtId="0" xfId="0" applyBorder="1" applyFont="1"/>
    <xf borderId="258" fillId="8" fontId="13" numFmtId="0" xfId="0" applyAlignment="1" applyBorder="1" applyFont="1">
      <alignment vertical="bottom"/>
    </xf>
    <xf borderId="0" fillId="20" fontId="371" numFmtId="0" xfId="0" applyAlignment="1" applyFont="1">
      <alignment horizontal="center" readingOrder="0" vertical="bottom"/>
    </xf>
    <xf borderId="259" fillId="8" fontId="13" numFmtId="0" xfId="0" applyAlignment="1" applyBorder="1" applyFont="1">
      <alignment vertical="bottom"/>
    </xf>
    <xf borderId="0" fillId="20" fontId="371" numFmtId="0" xfId="0" applyAlignment="1" applyFont="1">
      <alignment readingOrder="0" vertical="bottom"/>
    </xf>
    <xf borderId="32" fillId="20" fontId="371" numFmtId="0" xfId="0" applyAlignment="1" applyBorder="1" applyFont="1">
      <alignment shrinkToFit="0" vertical="bottom" wrapText="1"/>
    </xf>
    <xf borderId="253" fillId="20" fontId="26" numFmtId="0" xfId="0" applyAlignment="1" applyBorder="1" applyFont="1">
      <alignment horizontal="center" vertical="bottom"/>
    </xf>
    <xf borderId="253" fillId="20" fontId="371" numFmtId="0" xfId="0" applyAlignment="1" applyBorder="1" applyFont="1">
      <alignment vertical="bottom"/>
    </xf>
    <xf borderId="0" fillId="20" fontId="371" numFmtId="0" xfId="0" applyAlignment="1" applyFont="1">
      <alignment vertical="bottom"/>
    </xf>
    <xf borderId="7" fillId="8" fontId="13" numFmtId="0" xfId="0" applyAlignment="1" applyBorder="1" applyFont="1">
      <alignment vertical="center"/>
    </xf>
    <xf borderId="7" fillId="8" fontId="13" numFmtId="0" xfId="0" applyAlignment="1" applyBorder="1" applyFont="1">
      <alignment vertical="bottom"/>
    </xf>
    <xf borderId="260" fillId="8" fontId="13" numFmtId="0" xfId="0" applyAlignment="1" applyBorder="1" applyFont="1">
      <alignment shrinkToFit="0" vertical="bottom" wrapText="1"/>
    </xf>
    <xf borderId="7" fillId="8" fontId="81" numFmtId="0" xfId="0" applyAlignment="1" applyBorder="1" applyFont="1">
      <alignment horizontal="center" vertical="bottom"/>
    </xf>
    <xf borderId="261" fillId="8" fontId="13" numFmtId="0" xfId="0" applyAlignment="1" applyBorder="1" applyFont="1">
      <alignment vertical="bottom"/>
    </xf>
    <xf borderId="0" fillId="26" fontId="13" numFmtId="0" xfId="0" applyAlignment="1" applyFont="1">
      <alignment horizontal="center" vertical="center"/>
    </xf>
    <xf borderId="0" fillId="26" fontId="13" numFmtId="170" xfId="0" applyAlignment="1" applyFont="1" applyNumberFormat="1">
      <alignment horizontal="right" readingOrder="0" vertical="center"/>
    </xf>
    <xf borderId="50" fillId="8" fontId="13" numFmtId="0" xfId="0" applyAlignment="1" applyBorder="1" applyFont="1">
      <alignment vertical="bottom"/>
    </xf>
    <xf borderId="0" fillId="26" fontId="13" numFmtId="0" xfId="0" applyAlignment="1" applyFont="1">
      <alignment vertical="bottom"/>
    </xf>
    <xf borderId="50" fillId="8" fontId="372" numFmtId="0" xfId="0" applyAlignment="1" applyBorder="1" applyFont="1">
      <alignment vertical="bottom"/>
    </xf>
    <xf borderId="0" fillId="26" fontId="372" numFmtId="0" xfId="0" applyAlignment="1" applyFont="1">
      <alignment readingOrder="0" vertical="center"/>
    </xf>
    <xf borderId="32" fillId="26" fontId="372" numFmtId="0" xfId="0" applyAlignment="1" applyBorder="1" applyFont="1">
      <alignment readingOrder="0" shrinkToFit="0" vertical="bottom" wrapText="1"/>
    </xf>
    <xf borderId="0" fillId="0" fontId="81" numFmtId="0" xfId="0" applyAlignment="1" applyFont="1">
      <alignment horizontal="center" vertical="bottom"/>
    </xf>
    <xf borderId="253" fillId="0" fontId="13" numFmtId="170" xfId="0" applyAlignment="1" applyBorder="1" applyFont="1" applyNumberFormat="1">
      <alignment horizontal="right" vertical="bottom"/>
    </xf>
    <xf borderId="0" fillId="0" fontId="13" numFmtId="170" xfId="0" applyAlignment="1" applyFont="1" applyNumberFormat="1">
      <alignment horizontal="right" vertical="bottom"/>
    </xf>
    <xf borderId="254" fillId="0" fontId="13" numFmtId="0" xfId="0" applyAlignment="1" applyBorder="1" applyFont="1">
      <alignment vertical="bottom"/>
    </xf>
    <xf borderId="0" fillId="26" fontId="13" numFmtId="170" xfId="0" applyAlignment="1" applyFont="1" applyNumberFormat="1">
      <alignment horizontal="right" vertical="center"/>
    </xf>
    <xf borderId="32" fillId="26" fontId="373" numFmtId="0" xfId="0" applyAlignment="1" applyBorder="1" applyFont="1">
      <alignment readingOrder="0" shrinkToFit="0" vertical="bottom" wrapText="1"/>
    </xf>
    <xf borderId="0" fillId="0" fontId="81" numFmtId="0" xfId="0" applyAlignment="1" applyFont="1">
      <alignment horizontal="center" readingOrder="0" vertical="bottom"/>
    </xf>
    <xf borderId="0" fillId="26" fontId="13" numFmtId="0" xfId="0" applyAlignment="1" applyFont="1">
      <alignment horizontal="center" readingOrder="0" vertical="center"/>
    </xf>
    <xf borderId="0" fillId="26" fontId="13" numFmtId="0" xfId="0" applyAlignment="1" applyFont="1">
      <alignment readingOrder="0" vertical="bottom"/>
    </xf>
    <xf borderId="0" fillId="28" fontId="97" numFmtId="0" xfId="0" applyAlignment="1" applyFont="1">
      <alignment horizontal="center" readingOrder="0" vertical="center"/>
    </xf>
    <xf borderId="0" fillId="26" fontId="13" numFmtId="0" xfId="0" applyAlignment="1" applyFont="1">
      <alignment readingOrder="0" vertical="center"/>
    </xf>
    <xf borderId="32" fillId="26" fontId="13" numFmtId="0" xfId="0" applyAlignment="1" applyBorder="1" applyFont="1">
      <alignment readingOrder="0" shrinkToFit="0" vertical="bottom" wrapText="1"/>
    </xf>
    <xf borderId="0" fillId="26" fontId="13" numFmtId="0" xfId="0" applyAlignment="1" applyFont="1">
      <alignment readingOrder="0" vertical="center"/>
    </xf>
    <xf borderId="32" fillId="26" fontId="13" numFmtId="0" xfId="0" applyAlignment="1" applyBorder="1" applyFont="1">
      <alignment readingOrder="0" shrinkToFit="0" vertical="bottom" wrapText="1"/>
    </xf>
    <xf borderId="253" fillId="0" fontId="13" numFmtId="0" xfId="0" applyAlignment="1" applyBorder="1" applyFont="1">
      <alignment vertical="bottom"/>
    </xf>
    <xf borderId="7" fillId="26" fontId="13" numFmtId="0" xfId="0" applyAlignment="1" applyBorder="1" applyFont="1">
      <alignment horizontal="center" vertical="center"/>
    </xf>
    <xf borderId="7" fillId="26" fontId="13" numFmtId="170" xfId="0" applyAlignment="1" applyBorder="1" applyFont="1" applyNumberFormat="1">
      <alignment horizontal="right" vertical="center"/>
    </xf>
    <xf borderId="144" fillId="8" fontId="13" numFmtId="0" xfId="0" applyAlignment="1" applyBorder="1" applyFont="1">
      <alignment vertical="bottom"/>
    </xf>
    <xf borderId="7" fillId="26" fontId="13" numFmtId="0" xfId="0" applyAlignment="1" applyBorder="1" applyFont="1">
      <alignment vertical="bottom"/>
    </xf>
    <xf borderId="7" fillId="26" fontId="13" numFmtId="0" xfId="0" applyAlignment="1" applyBorder="1" applyFont="1">
      <alignment readingOrder="0" vertical="center"/>
    </xf>
    <xf borderId="260" fillId="26" fontId="13" numFmtId="0" xfId="0" applyAlignment="1" applyBorder="1" applyFont="1">
      <alignment readingOrder="0" shrinkToFit="0" vertical="bottom" wrapText="1"/>
    </xf>
    <xf borderId="7" fillId="0" fontId="81" numFmtId="0" xfId="0" applyAlignment="1" applyBorder="1" applyFont="1">
      <alignment horizontal="center" readingOrder="0" vertical="bottom"/>
    </xf>
    <xf borderId="262" fillId="0" fontId="13" numFmtId="0" xfId="0" applyAlignment="1" applyBorder="1" applyFont="1">
      <alignment vertical="bottom"/>
    </xf>
    <xf borderId="7" fillId="0" fontId="13" numFmtId="0" xfId="0" applyAlignment="1" applyBorder="1" applyFont="1">
      <alignment vertical="bottom"/>
    </xf>
    <xf borderId="261" fillId="0" fontId="13" numFmtId="0" xfId="0" applyAlignment="1" applyBorder="1" applyFont="1">
      <alignment vertical="bottom"/>
    </xf>
    <xf borderId="0" fillId="7" fontId="105" numFmtId="0" xfId="0" applyAlignment="1" applyFont="1">
      <alignment horizontal="center" readingOrder="0" vertical="center"/>
    </xf>
    <xf borderId="32" fillId="26" fontId="13" numFmtId="0" xfId="0" applyAlignment="1" applyBorder="1" applyFont="1">
      <alignment shrinkToFit="0" vertical="bottom" wrapText="1"/>
    </xf>
    <xf borderId="0" fillId="40" fontId="10" numFmtId="0" xfId="0" applyAlignment="1" applyFont="1">
      <alignment horizontal="center" readingOrder="0" vertical="bottom"/>
    </xf>
    <xf borderId="0" fillId="28" fontId="97" numFmtId="0" xfId="0" applyAlignment="1" applyFont="1">
      <alignment horizontal="center" readingOrder="0" shrinkToFit="0" vertical="center" wrapText="1"/>
    </xf>
    <xf borderId="0" fillId="26" fontId="372" numFmtId="10" xfId="0" applyAlignment="1" applyFont="1" applyNumberFormat="1">
      <alignment readingOrder="0" vertical="center"/>
    </xf>
    <xf borderId="32" fillId="26" fontId="372" numFmtId="10" xfId="0" applyAlignment="1" applyBorder="1" applyFont="1" applyNumberFormat="1">
      <alignment readingOrder="0" shrinkToFit="0" vertical="bottom" wrapText="1"/>
    </xf>
    <xf borderId="32" fillId="26" fontId="372" numFmtId="0" xfId="0" applyAlignment="1" applyBorder="1" applyFont="1">
      <alignment readingOrder="0" shrinkToFit="0" vertical="bottom" wrapText="1"/>
    </xf>
    <xf borderId="254" fillId="0" fontId="13" numFmtId="0" xfId="0" applyAlignment="1" applyBorder="1" applyFont="1">
      <alignment readingOrder="0" vertical="bottom"/>
    </xf>
    <xf borderId="32" fillId="26" fontId="372" numFmtId="0" xfId="0" applyAlignment="1" applyBorder="1" applyFont="1">
      <alignment shrinkToFit="0" vertical="bottom" wrapText="1"/>
    </xf>
    <xf borderId="53" fillId="8" fontId="13" numFmtId="0" xfId="0" applyAlignment="1" applyBorder="1" applyFont="1">
      <alignment vertical="bottom"/>
    </xf>
    <xf borderId="129" fillId="68" fontId="81" numFmtId="0" xfId="0" applyAlignment="1" applyBorder="1" applyFill="1" applyFont="1">
      <alignment horizontal="center" readingOrder="0" vertical="center"/>
    </xf>
    <xf borderId="143" fillId="8" fontId="13" numFmtId="0" xfId="0" applyAlignment="1" applyBorder="1" applyFont="1">
      <alignment vertical="bottom"/>
    </xf>
    <xf borderId="0" fillId="0" fontId="81" numFmtId="0" xfId="0" applyAlignment="1" applyFont="1">
      <alignment horizontal="center" vertical="bottom"/>
    </xf>
    <xf borderId="0" fillId="0" fontId="13" numFmtId="0" xfId="0" applyAlignment="1" applyFont="1">
      <alignment shrinkToFit="0" vertical="bottom" wrapText="1"/>
    </xf>
    <xf borderId="0" fillId="42" fontId="287" numFmtId="0" xfId="0" applyAlignment="1" applyFont="1">
      <alignment horizontal="center" readingOrder="0" vertical="top"/>
    </xf>
    <xf borderId="50" fillId="42" fontId="374" numFmtId="0" xfId="0" applyAlignment="1" applyBorder="1" applyFont="1">
      <alignment readingOrder="0" vertical="center"/>
    </xf>
    <xf borderId="47" fillId="11" fontId="4" numFmtId="0" xfId="0" applyAlignment="1" applyBorder="1" applyFont="1">
      <alignment horizontal="center" vertical="center"/>
    </xf>
    <xf borderId="50" fillId="11" fontId="330" numFmtId="0" xfId="0" applyAlignment="1" applyBorder="1" applyFont="1">
      <alignment readingOrder="0"/>
    </xf>
    <xf borderId="50" fillId="11" fontId="56" numFmtId="0" xfId="0" applyAlignment="1" applyBorder="1" applyFont="1">
      <alignment readingOrder="0"/>
    </xf>
    <xf borderId="50" fillId="11" fontId="29" numFmtId="0" xfId="0" applyAlignment="1" applyBorder="1" applyFont="1">
      <alignment readingOrder="0"/>
    </xf>
    <xf borderId="0" fillId="11" fontId="56" numFmtId="0" xfId="0" applyAlignment="1" applyFont="1">
      <alignment readingOrder="0"/>
    </xf>
    <xf borderId="0" fillId="34" fontId="331" numFmtId="0" xfId="0" applyAlignment="1" applyFont="1">
      <alignment readingOrder="0" vertical="center"/>
    </xf>
    <xf borderId="57" fillId="20" fontId="375" numFmtId="0" xfId="0" applyAlignment="1" applyBorder="1" applyFont="1">
      <alignment horizontal="center" readingOrder="0" vertical="center"/>
    </xf>
    <xf borderId="0" fillId="40" fontId="330" numFmtId="0" xfId="0" applyAlignment="1" applyFont="1">
      <alignment readingOrder="0" vertical="bottom"/>
    </xf>
    <xf borderId="53" fillId="4" fontId="80" numFmtId="0" xfId="0" applyAlignment="1" applyBorder="1" applyFont="1">
      <alignment horizontal="center" readingOrder="0"/>
    </xf>
    <xf borderId="149" fillId="2" fontId="376" numFmtId="0" xfId="0" applyAlignment="1" applyBorder="1" applyFont="1">
      <alignment readingOrder="0" vertical="bottom"/>
    </xf>
    <xf borderId="149" fillId="2" fontId="13" numFmtId="0" xfId="0" applyAlignment="1" applyBorder="1" applyFont="1">
      <alignment vertical="bottom"/>
    </xf>
    <xf borderId="0" fillId="2" fontId="13" numFmtId="0" xfId="0" applyAlignment="1" applyFont="1">
      <alignment vertical="bottom"/>
    </xf>
    <xf borderId="263" fillId="8" fontId="26" numFmtId="0" xfId="0" applyAlignment="1" applyBorder="1" applyFont="1">
      <alignment horizontal="center" readingOrder="0" vertical="center"/>
    </xf>
    <xf borderId="65" fillId="0" fontId="3" numFmtId="0" xfId="0" applyBorder="1" applyFont="1"/>
    <xf borderId="64" fillId="0" fontId="3" numFmtId="0" xfId="0" applyBorder="1" applyFont="1"/>
    <xf borderId="16" fillId="8" fontId="85" numFmtId="0" xfId="0" applyAlignment="1" applyBorder="1" applyFont="1">
      <alignment horizontal="center" vertical="center"/>
    </xf>
    <xf borderId="105" fillId="2" fontId="13" numFmtId="0" xfId="0" applyAlignment="1" applyBorder="1" applyFont="1">
      <alignment vertical="bottom"/>
    </xf>
    <xf borderId="18" fillId="8" fontId="4" numFmtId="0" xfId="0" applyAlignment="1" applyBorder="1" applyFont="1">
      <alignment horizontal="center" readingOrder="0" vertical="center"/>
    </xf>
    <xf borderId="264" fillId="0" fontId="3" numFmtId="0" xfId="0" applyBorder="1" applyFont="1"/>
    <xf borderId="40" fillId="0" fontId="3" numFmtId="0" xfId="0" applyBorder="1" applyFont="1"/>
    <xf borderId="265" fillId="8" fontId="29" numFmtId="0" xfId="0" applyAlignment="1" applyBorder="1" applyFont="1">
      <alignment horizontal="center" readingOrder="0"/>
    </xf>
    <xf borderId="266" fillId="8" fontId="29" numFmtId="0" xfId="0" applyAlignment="1" applyBorder="1" applyFont="1">
      <alignment horizontal="center" readingOrder="0"/>
    </xf>
    <xf borderId="267" fillId="8" fontId="29" numFmtId="0" xfId="0" applyAlignment="1" applyBorder="1" applyFont="1">
      <alignment horizontal="center" readingOrder="0"/>
    </xf>
    <xf borderId="35" fillId="20" fontId="377" numFmtId="0" xfId="0" applyAlignment="1" applyBorder="1" applyFont="1">
      <alignment horizontal="center" readingOrder="0" vertical="center"/>
    </xf>
    <xf borderId="35" fillId="20" fontId="26" numFmtId="0" xfId="0" applyAlignment="1" applyBorder="1" applyFont="1">
      <alignment horizontal="center" readingOrder="0"/>
    </xf>
    <xf borderId="79" fillId="20" fontId="29" numFmtId="0" xfId="0" applyAlignment="1" applyBorder="1" applyFont="1">
      <alignment horizontal="center" readingOrder="0"/>
    </xf>
    <xf borderId="42" fillId="20" fontId="29" numFmtId="0" xfId="0" applyAlignment="1" applyBorder="1" applyFont="1">
      <alignment horizontal="center" readingOrder="0"/>
    </xf>
    <xf borderId="47" fillId="42" fontId="359" numFmtId="0" xfId="0" applyAlignment="1" applyBorder="1" applyFont="1">
      <alignment horizontal="center" readingOrder="0" vertical="bottom"/>
    </xf>
    <xf borderId="0" fillId="42" fontId="245" numFmtId="0" xfId="0" applyAlignment="1" applyFont="1">
      <alignment horizontal="left" readingOrder="0" vertical="center"/>
    </xf>
    <xf borderId="79" fillId="0" fontId="81" numFmtId="0" xfId="0" applyAlignment="1" applyBorder="1" applyFont="1">
      <alignment horizontal="center" readingOrder="0" vertical="center"/>
    </xf>
    <xf borderId="78" fillId="0" fontId="81" numFmtId="0" xfId="0" applyAlignment="1" applyBorder="1" applyFont="1">
      <alignment horizontal="center" readingOrder="0" vertical="center"/>
    </xf>
    <xf borderId="42" fillId="0" fontId="81" numFmtId="0" xfId="0" applyAlignment="1" applyBorder="1" applyFont="1">
      <alignment horizontal="center" readingOrder="0" vertical="center"/>
    </xf>
    <xf borderId="47" fillId="11" fontId="4" numFmtId="0" xfId="0" applyAlignment="1" applyBorder="1" applyFont="1">
      <alignment horizontal="center"/>
    </xf>
    <xf borderId="0" fillId="11" fontId="29" numFmtId="0" xfId="0" applyAlignment="1" applyFont="1">
      <alignment horizontal="left" readingOrder="0" vertical="center"/>
    </xf>
    <xf borderId="47" fillId="34" fontId="17" numFmtId="0" xfId="0" applyAlignment="1" applyBorder="1" applyFont="1">
      <alignment horizontal="center" readingOrder="0" vertical="center"/>
    </xf>
    <xf borderId="46" fillId="34" fontId="18" numFmtId="0" xfId="0" applyAlignment="1" applyBorder="1" applyFont="1">
      <alignment horizontal="left" readingOrder="0" vertical="center"/>
    </xf>
    <xf borderId="44" fillId="20" fontId="13" numFmtId="0" xfId="0" applyBorder="1" applyFont="1"/>
    <xf borderId="0" fillId="20" fontId="13" numFmtId="0" xfId="0" applyFont="1"/>
    <xf borderId="45" fillId="20" fontId="14" numFmtId="0" xfId="0" applyAlignment="1" applyBorder="1" applyFont="1">
      <alignment horizontal="left"/>
    </xf>
    <xf borderId="56" fillId="20" fontId="378" numFmtId="0" xfId="0" applyAlignment="1" applyBorder="1" applyFont="1">
      <alignment horizontal="center" vertical="center"/>
    </xf>
    <xf borderId="55" fillId="20" fontId="379" numFmtId="0" xfId="0" applyBorder="1" applyFont="1"/>
    <xf borderId="57" fillId="20" fontId="380" numFmtId="0" xfId="0" applyBorder="1" applyFont="1"/>
    <xf borderId="56" fillId="20" fontId="381" numFmtId="0" xfId="0" applyBorder="1" applyFont="1"/>
    <xf borderId="57" fillId="20" fontId="382" numFmtId="0" xfId="0" applyBorder="1" applyFont="1"/>
    <xf borderId="57" fillId="20" fontId="383" numFmtId="0" xfId="0" applyBorder="1" applyFont="1"/>
    <xf borderId="56" fillId="20" fontId="384" numFmtId="0" xfId="0" applyAlignment="1" applyBorder="1" applyFont="1">
      <alignment horizontal="center" shrinkToFit="0" vertical="center" wrapText="0"/>
    </xf>
    <xf borderId="57" fillId="20" fontId="385" numFmtId="0" xfId="0" applyAlignment="1" applyBorder="1" applyFont="1">
      <alignment horizontal="center" shrinkToFit="0" vertical="center" wrapText="0"/>
    </xf>
    <xf borderId="57" fillId="20" fontId="63" numFmtId="0" xfId="0" applyAlignment="1" applyBorder="1" applyFont="1">
      <alignment horizontal="center" shrinkToFit="0" vertical="center" wrapText="0"/>
    </xf>
    <xf borderId="47" fillId="10" fontId="23" numFmtId="0" xfId="0" applyAlignment="1" applyBorder="1" applyFont="1">
      <alignment horizontal="center" vertical="bottom"/>
    </xf>
    <xf borderId="0" fillId="10" fontId="24" numFmtId="0" xfId="0" applyAlignment="1" applyFont="1">
      <alignment horizontal="left" readingOrder="0" vertical="center"/>
    </xf>
    <xf borderId="76" fillId="0" fontId="81" numFmtId="0" xfId="0" applyAlignment="1" applyBorder="1" applyFont="1">
      <alignment horizontal="center" readingOrder="0" vertical="center"/>
    </xf>
    <xf borderId="0" fillId="40" fontId="386" numFmtId="0" xfId="0" applyAlignment="1" applyFont="1">
      <alignment horizontal="left" readingOrder="0" vertical="center"/>
    </xf>
    <xf borderId="0" fillId="40" fontId="29" numFmtId="0" xfId="0" applyAlignment="1" applyFont="1">
      <alignment horizontal="left" readingOrder="0" vertical="center"/>
    </xf>
    <xf borderId="47" fillId="9" fontId="17" numFmtId="0" xfId="0" applyAlignment="1" applyBorder="1" applyFont="1">
      <alignment horizontal="center" readingOrder="0"/>
    </xf>
    <xf borderId="60" fillId="0" fontId="81" numFmtId="0" xfId="0" applyAlignment="1" applyBorder="1" applyFont="1">
      <alignment horizontal="center" readingOrder="0" vertical="center"/>
    </xf>
    <xf borderId="35" fillId="0" fontId="81" numFmtId="0" xfId="0" applyAlignment="1" applyBorder="1" applyFont="1">
      <alignment horizontal="center" readingOrder="0" vertical="center"/>
    </xf>
    <xf borderId="60" fillId="20" fontId="13" numFmtId="0" xfId="0" applyBorder="1" applyFont="1"/>
    <xf borderId="73" fillId="20" fontId="13" numFmtId="0" xfId="0" applyBorder="1" applyFont="1"/>
    <xf borderId="35" fillId="20" fontId="13" numFmtId="0" xfId="0" applyBorder="1" applyFont="1"/>
    <xf borderId="16" fillId="20" fontId="63" numFmtId="0" xfId="0" applyAlignment="1" applyBorder="1" applyFont="1">
      <alignment readingOrder="0"/>
    </xf>
    <xf borderId="73" fillId="20" fontId="63" numFmtId="0" xfId="0" applyAlignment="1" applyBorder="1" applyFont="1">
      <alignment readingOrder="0"/>
    </xf>
    <xf borderId="16" fillId="20" fontId="63" numFmtId="0" xfId="0" applyAlignment="1" applyBorder="1" applyFont="1">
      <alignment readingOrder="0" shrinkToFit="0" wrapText="0"/>
    </xf>
    <xf borderId="73" fillId="20" fontId="63" numFmtId="0" xfId="0" applyAlignment="1" applyBorder="1" applyFont="1">
      <alignment readingOrder="0" shrinkToFit="0" wrapText="0"/>
    </xf>
    <xf borderId="0" fillId="8" fontId="49" numFmtId="0" xfId="0" applyAlignment="1" applyFont="1">
      <alignment horizontal="center" readingOrder="0" textRotation="90" vertical="center"/>
    </xf>
    <xf borderId="30" fillId="22" fontId="14" numFmtId="0" xfId="0" applyAlignment="1" applyBorder="1" applyFont="1">
      <alignment vertical="center"/>
    </xf>
    <xf borderId="51" fillId="22" fontId="81" numFmtId="0" xfId="0" applyAlignment="1" applyBorder="1" applyFont="1">
      <alignment horizontal="right" vertical="bottom"/>
    </xf>
    <xf borderId="30" fillId="25" fontId="14" numFmtId="0" xfId="0" applyAlignment="1" applyBorder="1" applyFont="1">
      <alignment vertical="center"/>
    </xf>
    <xf borderId="51" fillId="25" fontId="81" numFmtId="0" xfId="0" applyAlignment="1" applyBorder="1" applyFont="1">
      <alignment horizontal="right" vertical="bottom"/>
    </xf>
    <xf borderId="30" fillId="26" fontId="64" numFmtId="0" xfId="0" applyAlignment="1" applyBorder="1" applyFont="1">
      <alignment vertical="center"/>
    </xf>
    <xf borderId="51" fillId="26" fontId="81" numFmtId="0" xfId="0" applyAlignment="1" applyBorder="1" applyFont="1">
      <alignment horizontal="right" vertical="bottom"/>
    </xf>
    <xf borderId="30" fillId="4" fontId="66" numFmtId="0" xfId="0" applyAlignment="1" applyBorder="1" applyFont="1">
      <alignment vertical="center"/>
    </xf>
    <xf borderId="51" fillId="4" fontId="80" numFmtId="0" xfId="0" applyAlignment="1" applyBorder="1" applyFont="1">
      <alignment horizontal="right" vertical="bottom"/>
    </xf>
    <xf borderId="30" fillId="14" fontId="64" numFmtId="0" xfId="0" applyAlignment="1" applyBorder="1" applyFont="1">
      <alignment vertical="center"/>
    </xf>
    <xf borderId="31" fillId="14" fontId="81" numFmtId="0" xfId="0" applyAlignment="1" applyBorder="1" applyFont="1">
      <alignment horizontal="right" vertical="bottom"/>
    </xf>
    <xf borderId="30" fillId="0" fontId="64" numFmtId="0" xfId="0" applyAlignment="1" applyBorder="1" applyFont="1">
      <alignment vertical="center"/>
    </xf>
    <xf borderId="31" fillId="0" fontId="81" numFmtId="0" xfId="0" applyAlignment="1" applyBorder="1" applyFont="1">
      <alignment horizontal="right" vertical="bottom"/>
    </xf>
    <xf borderId="115" fillId="0" fontId="64" numFmtId="9" xfId="0" applyAlignment="1" applyBorder="1" applyFont="1" applyNumberFormat="1">
      <alignment vertical="center"/>
    </xf>
    <xf borderId="53" fillId="20" fontId="387" numFmtId="0" xfId="0" applyAlignment="1" applyBorder="1" applyFont="1">
      <alignment horizontal="center" readingOrder="0" vertical="bottom"/>
    </xf>
    <xf borderId="0" fillId="20" fontId="388" numFmtId="0" xfId="0" applyAlignment="1" applyFont="1">
      <alignment horizontal="center" vertical="bottom"/>
    </xf>
    <xf borderId="0" fillId="8" fontId="269" numFmtId="0" xfId="0" applyAlignment="1" applyFont="1">
      <alignment vertical="bottom"/>
    </xf>
    <xf borderId="253" fillId="8" fontId="269" numFmtId="0" xfId="0" applyAlignment="1" applyBorder="1" applyFont="1">
      <alignment vertical="bottom"/>
    </xf>
    <xf borderId="254" fillId="20" fontId="388" numFmtId="0" xfId="0" applyAlignment="1" applyBorder="1" applyFont="1">
      <alignment vertical="bottom"/>
    </xf>
    <xf borderId="258" fillId="8" fontId="269" numFmtId="0" xfId="0" applyAlignment="1" applyBorder="1" applyFont="1">
      <alignment vertical="bottom"/>
    </xf>
    <xf borderId="0" fillId="20" fontId="388" numFmtId="0" xfId="0" applyAlignment="1" applyFont="1">
      <alignment horizontal="center" readingOrder="0" vertical="bottom"/>
    </xf>
    <xf borderId="259" fillId="8" fontId="269" numFmtId="0" xfId="0" applyAlignment="1" applyBorder="1" applyFont="1">
      <alignment vertical="bottom"/>
    </xf>
    <xf borderId="253" fillId="20" fontId="388" numFmtId="0" xfId="0" applyAlignment="1" applyBorder="1" applyFont="1">
      <alignment readingOrder="0" vertical="bottom"/>
    </xf>
    <xf borderId="253" fillId="20" fontId="388" numFmtId="0" xfId="0" applyAlignment="1" applyBorder="1" applyFont="1">
      <alignment shrinkToFit="0" vertical="bottom" wrapText="1"/>
    </xf>
    <xf borderId="253" fillId="20" fontId="388" numFmtId="0" xfId="0" applyAlignment="1" applyBorder="1" applyFont="1">
      <alignment horizontal="center" vertical="bottom"/>
    </xf>
    <xf borderId="253" fillId="20" fontId="388" numFmtId="0" xfId="0" applyAlignment="1" applyBorder="1" applyFont="1">
      <alignment vertical="bottom"/>
    </xf>
    <xf borderId="0" fillId="20" fontId="388" numFmtId="0" xfId="0" applyAlignment="1" applyFont="1">
      <alignment vertical="bottom"/>
    </xf>
    <xf borderId="7" fillId="8" fontId="269" numFmtId="0" xfId="0" applyAlignment="1" applyBorder="1" applyFont="1">
      <alignment vertical="center"/>
    </xf>
    <xf borderId="7" fillId="8" fontId="269" numFmtId="0" xfId="0" applyAlignment="1" applyBorder="1" applyFont="1">
      <alignment vertical="bottom"/>
    </xf>
    <xf borderId="7" fillId="8" fontId="269" numFmtId="0" xfId="0" applyAlignment="1" applyBorder="1" applyFont="1">
      <alignment shrinkToFit="0" vertical="bottom" wrapText="1"/>
    </xf>
    <xf borderId="7" fillId="8" fontId="207" numFmtId="0" xfId="0" applyAlignment="1" applyBorder="1" applyFont="1">
      <alignment horizontal="center" vertical="bottom"/>
    </xf>
    <xf borderId="261" fillId="8" fontId="269" numFmtId="0" xfId="0" applyAlignment="1" applyBorder="1" applyFont="1">
      <alignment vertical="bottom"/>
    </xf>
    <xf borderId="0" fillId="26" fontId="269" numFmtId="0" xfId="0" applyAlignment="1" applyFont="1">
      <alignment horizontal="center" vertical="center"/>
    </xf>
    <xf borderId="0" fillId="26" fontId="269" numFmtId="170" xfId="0" applyAlignment="1" applyFont="1" applyNumberFormat="1">
      <alignment horizontal="right" vertical="center"/>
    </xf>
    <xf borderId="50" fillId="8" fontId="269" numFmtId="0" xfId="0" applyAlignment="1" applyBorder="1" applyFont="1">
      <alignment vertical="bottom"/>
    </xf>
    <xf borderId="0" fillId="26" fontId="269" numFmtId="0" xfId="0" applyAlignment="1" applyFont="1">
      <alignment vertical="bottom"/>
    </xf>
    <xf borderId="253" fillId="26" fontId="269" numFmtId="0" xfId="0" applyAlignment="1" applyBorder="1" applyFont="1">
      <alignment vertical="center"/>
    </xf>
    <xf borderId="253" fillId="26" fontId="269" numFmtId="0" xfId="0" applyAlignment="1" applyBorder="1" applyFont="1">
      <alignment shrinkToFit="0" vertical="bottom" wrapText="1"/>
    </xf>
    <xf borderId="0" fillId="7" fontId="389" numFmtId="0" xfId="0" applyAlignment="1" applyFont="1">
      <alignment horizontal="center" readingOrder="0" vertical="center"/>
    </xf>
    <xf borderId="253" fillId="0" fontId="269" numFmtId="170" xfId="0" applyAlignment="1" applyBorder="1" applyFont="1" applyNumberFormat="1">
      <alignment horizontal="right" vertical="bottom"/>
    </xf>
    <xf borderId="0" fillId="0" fontId="269" numFmtId="170" xfId="0" applyAlignment="1" applyFont="1" applyNumberFormat="1">
      <alignment horizontal="right" vertical="bottom"/>
    </xf>
    <xf borderId="254" fillId="0" fontId="269" numFmtId="0" xfId="0" applyAlignment="1" applyBorder="1" applyFont="1">
      <alignment vertical="bottom"/>
    </xf>
    <xf borderId="0" fillId="41" fontId="226" numFmtId="0" xfId="0" applyAlignment="1" applyFont="1">
      <alignment horizontal="center" readingOrder="0" vertical="center"/>
    </xf>
    <xf borderId="0" fillId="26" fontId="269" numFmtId="0" xfId="0" applyAlignment="1" applyFont="1">
      <alignment horizontal="center" readingOrder="0" vertical="center"/>
    </xf>
    <xf borderId="253" fillId="26" fontId="269" numFmtId="0" xfId="0" applyAlignment="1" applyBorder="1" applyFont="1">
      <alignment readingOrder="0" vertical="center"/>
    </xf>
    <xf borderId="253" fillId="26" fontId="269" numFmtId="0" xfId="0" applyAlignment="1" applyBorder="1" applyFont="1">
      <alignment readingOrder="0" shrinkToFit="0" vertical="bottom" wrapText="1"/>
    </xf>
    <xf borderId="0" fillId="26" fontId="269" numFmtId="0" xfId="0" applyAlignment="1" applyFont="1">
      <alignment readingOrder="0" vertical="bottom"/>
    </xf>
    <xf borderId="0" fillId="0" fontId="207" numFmtId="0" xfId="0" applyAlignment="1" applyFont="1">
      <alignment horizontal="center" readingOrder="0" vertical="bottom"/>
    </xf>
    <xf borderId="253" fillId="0" fontId="269" numFmtId="170" xfId="0" applyAlignment="1" applyBorder="1" applyFont="1" applyNumberFormat="1">
      <alignment horizontal="right" readingOrder="0" vertical="bottom"/>
    </xf>
    <xf borderId="0" fillId="0" fontId="269" numFmtId="170" xfId="0" applyAlignment="1" applyFont="1" applyNumberFormat="1">
      <alignment horizontal="right" readingOrder="0" vertical="bottom"/>
    </xf>
    <xf borderId="0" fillId="0" fontId="207" numFmtId="0" xfId="0" applyAlignment="1" applyFont="1">
      <alignment horizontal="center" vertical="bottom"/>
    </xf>
    <xf borderId="253" fillId="26" fontId="269" numFmtId="0" xfId="0" applyAlignment="1" applyBorder="1" applyFont="1">
      <alignment readingOrder="0" vertical="center"/>
    </xf>
    <xf borderId="253" fillId="26" fontId="269" numFmtId="0" xfId="0" applyAlignment="1" applyBorder="1" applyFont="1">
      <alignment shrinkToFit="0" vertical="bottom" wrapText="1"/>
    </xf>
    <xf borderId="253" fillId="26" fontId="269" numFmtId="0" xfId="0" applyAlignment="1" applyBorder="1" applyFont="1">
      <alignment readingOrder="0" shrinkToFit="0" vertical="bottom" wrapText="1"/>
    </xf>
    <xf borderId="0" fillId="0" fontId="207" numFmtId="0" xfId="0" applyAlignment="1" applyFont="1">
      <alignment horizontal="center" readingOrder="0" vertical="bottom"/>
    </xf>
    <xf borderId="253" fillId="0" fontId="269" numFmtId="0" xfId="0" applyAlignment="1" applyBorder="1" applyFont="1">
      <alignment vertical="bottom"/>
    </xf>
    <xf borderId="0" fillId="0" fontId="269" numFmtId="0" xfId="0" applyAlignment="1" applyFont="1">
      <alignment vertical="bottom"/>
    </xf>
    <xf borderId="7" fillId="26" fontId="269" numFmtId="0" xfId="0" applyAlignment="1" applyBorder="1" applyFont="1">
      <alignment horizontal="center" vertical="center"/>
    </xf>
    <xf borderId="7" fillId="26" fontId="269" numFmtId="170" xfId="0" applyAlignment="1" applyBorder="1" applyFont="1" applyNumberFormat="1">
      <alignment horizontal="right" vertical="center"/>
    </xf>
    <xf borderId="144" fillId="8" fontId="269" numFmtId="0" xfId="0" applyAlignment="1" applyBorder="1" applyFont="1">
      <alignment vertical="bottom"/>
    </xf>
    <xf borderId="7" fillId="26" fontId="269" numFmtId="0" xfId="0" applyAlignment="1" applyBorder="1" applyFont="1">
      <alignment vertical="bottom"/>
    </xf>
    <xf borderId="262" fillId="26" fontId="269" numFmtId="0" xfId="0" applyAlignment="1" applyBorder="1" applyFont="1">
      <alignment readingOrder="0" vertical="center"/>
    </xf>
    <xf borderId="262" fillId="26" fontId="269" numFmtId="0" xfId="0" applyAlignment="1" applyBorder="1" applyFont="1">
      <alignment readingOrder="0" shrinkToFit="0" vertical="bottom" wrapText="1"/>
    </xf>
    <xf borderId="7" fillId="0" fontId="207" numFmtId="0" xfId="0" applyAlignment="1" applyBorder="1" applyFont="1">
      <alignment horizontal="center" readingOrder="0" vertical="bottom"/>
    </xf>
    <xf borderId="262" fillId="0" fontId="269" numFmtId="0" xfId="0" applyAlignment="1" applyBorder="1" applyFont="1">
      <alignment vertical="bottom"/>
    </xf>
    <xf borderId="7" fillId="0" fontId="269" numFmtId="0" xfId="0" applyAlignment="1" applyBorder="1" applyFont="1">
      <alignment vertical="bottom"/>
    </xf>
    <xf borderId="261" fillId="0" fontId="269" numFmtId="0" xfId="0" applyAlignment="1" applyBorder="1" applyFont="1">
      <alignment vertical="bottom"/>
    </xf>
    <xf borderId="0" fillId="38" fontId="207" numFmtId="0" xfId="0" applyAlignment="1" applyFont="1">
      <alignment horizontal="center" readingOrder="0" vertical="bottom"/>
    </xf>
    <xf borderId="0" fillId="38" fontId="296" numFmtId="0" xfId="0" applyAlignment="1" applyFont="1">
      <alignment horizontal="center" readingOrder="0" vertical="center"/>
    </xf>
    <xf borderId="0" fillId="26" fontId="269" numFmtId="170" xfId="0" applyAlignment="1" applyFont="1" applyNumberFormat="1">
      <alignment horizontal="right" readingOrder="0" vertical="center"/>
    </xf>
    <xf borderId="0" fillId="36" fontId="390" numFmtId="0" xfId="0" applyAlignment="1" applyFont="1">
      <alignment horizontal="center" readingOrder="0" vertical="bottom"/>
    </xf>
    <xf borderId="0" fillId="0" fontId="207" numFmtId="0" xfId="0" applyAlignment="1" applyFont="1">
      <alignment horizontal="center" vertical="bottom"/>
    </xf>
    <xf borderId="0" fillId="30" fontId="284" numFmtId="0" xfId="0" applyAlignment="1" applyFont="1">
      <alignment horizontal="center" readingOrder="0" vertical="bottom"/>
    </xf>
    <xf borderId="0" fillId="34" fontId="296" numFmtId="0" xfId="0" applyAlignment="1" applyFont="1">
      <alignment horizontal="center" readingOrder="0" vertical="center"/>
    </xf>
    <xf borderId="0" fillId="40" fontId="208" numFmtId="0" xfId="0" applyAlignment="1" applyFont="1">
      <alignment horizontal="center" readingOrder="0" vertical="center"/>
    </xf>
    <xf borderId="0" fillId="4" fontId="296" numFmtId="0" xfId="0" applyAlignment="1" applyFont="1">
      <alignment horizontal="center" readingOrder="0" vertical="center"/>
    </xf>
    <xf borderId="31" fillId="26" fontId="269" numFmtId="0" xfId="0" applyAlignment="1" applyBorder="1" applyFont="1">
      <alignment readingOrder="0" shrinkToFit="0" vertical="bottom" wrapText="1"/>
    </xf>
    <xf borderId="253" fillId="26" fontId="269" numFmtId="0" xfId="0" applyAlignment="1" applyBorder="1" applyFont="1">
      <alignment vertical="center"/>
    </xf>
    <xf borderId="254" fillId="26" fontId="269" numFmtId="0" xfId="0" applyAlignment="1" applyBorder="1" applyFont="1">
      <alignment readingOrder="0" vertical="bottom"/>
    </xf>
    <xf borderId="254" fillId="0" fontId="269" numFmtId="0" xfId="0" applyAlignment="1" applyBorder="1" applyFont="1">
      <alignment readingOrder="0" vertical="bottom"/>
    </xf>
    <xf borderId="0" fillId="9" fontId="207" numFmtId="0" xfId="0" applyAlignment="1" applyFont="1">
      <alignment horizontal="center" readingOrder="0" vertical="bottom"/>
    </xf>
    <xf borderId="253" fillId="26" fontId="207" numFmtId="0" xfId="0" applyAlignment="1" applyBorder="1" applyFont="1">
      <alignment readingOrder="0" vertical="center"/>
    </xf>
    <xf borderId="253" fillId="26" fontId="207" numFmtId="0" xfId="0" applyAlignment="1" applyBorder="1" applyFont="1">
      <alignment readingOrder="0" shrinkToFit="0" vertical="bottom" wrapText="1"/>
    </xf>
    <xf borderId="253" fillId="26" fontId="269" numFmtId="0" xfId="0" applyAlignment="1" applyBorder="1" applyFont="1">
      <alignment readingOrder="0" shrinkToFit="0" vertical="bottom" wrapText="1"/>
    </xf>
    <xf borderId="0" fillId="28" fontId="208" numFmtId="0" xfId="0" applyAlignment="1" applyFont="1">
      <alignment horizontal="center" readingOrder="0" vertical="center"/>
    </xf>
    <xf borderId="0" fillId="4" fontId="284" numFmtId="0" xfId="0" applyAlignment="1" applyFont="1">
      <alignment horizontal="center" readingOrder="0" vertical="center"/>
    </xf>
    <xf borderId="53" fillId="8" fontId="269" numFmtId="0" xfId="0" applyAlignment="1" applyBorder="1" applyFont="1">
      <alignment vertical="bottom"/>
    </xf>
    <xf borderId="129" fillId="68" fontId="207" numFmtId="0" xfId="0" applyAlignment="1" applyBorder="1" applyFont="1">
      <alignment horizontal="center" readingOrder="0" vertical="center"/>
    </xf>
    <xf borderId="143" fillId="8" fontId="269" numFmtId="0" xfId="0" applyAlignment="1" applyBorder="1" applyFont="1">
      <alignment vertical="bottom"/>
    </xf>
    <xf borderId="0" fillId="0" fontId="269" numFmtId="0" xfId="0" applyAlignment="1" applyFont="1">
      <alignment readingOrder="0" vertical="bottom"/>
    </xf>
    <xf borderId="0" fillId="0" fontId="269" numFmtId="0" xfId="0" applyAlignment="1" applyFont="1">
      <alignment readingOrder="0" shrinkToFit="0" vertical="bottom" wrapText="1"/>
    </xf>
    <xf borderId="0" fillId="42" fontId="391" numFmtId="0" xfId="0" applyAlignment="1" applyFont="1">
      <alignment horizontal="center" readingOrder="0" vertical="bottom"/>
    </xf>
    <xf borderId="0" fillId="0" fontId="392" numFmtId="0" xfId="0" applyAlignment="1" applyFont="1">
      <alignment horizontal="center" readingOrder="0"/>
    </xf>
    <xf borderId="0" fillId="0" fontId="269" numFmtId="0" xfId="0" applyAlignment="1" applyFont="1">
      <alignment shrinkToFit="0" vertical="bottom" wrapText="1"/>
    </xf>
    <xf borderId="43" fillId="2" fontId="269" numFmtId="0" xfId="0" applyAlignment="1" applyBorder="1" applyFont="1">
      <alignment horizontal="right" readingOrder="0" vertical="bottom"/>
    </xf>
    <xf borderId="43" fillId="2" fontId="269" numFmtId="0" xfId="0" applyAlignment="1" applyBorder="1" applyFont="1">
      <alignment vertical="bottom"/>
    </xf>
    <xf borderId="0" fillId="2" fontId="269" numFmtId="0" xfId="0" applyAlignment="1" applyFont="1">
      <alignment vertical="bottom"/>
    </xf>
    <xf borderId="0" fillId="2" fontId="269" numFmtId="0" xfId="0" applyAlignment="1" applyFont="1">
      <alignment vertical="center"/>
    </xf>
    <xf borderId="44" fillId="8" fontId="393" numFmtId="0" xfId="0" applyAlignment="1" applyBorder="1" applyFont="1">
      <alignment horizontal="center" readingOrder="0"/>
    </xf>
    <xf borderId="18" fillId="8" fontId="394" numFmtId="0" xfId="0" applyAlignment="1" applyBorder="1" applyFont="1">
      <alignment horizontal="center" readingOrder="0" vertical="center"/>
    </xf>
    <xf borderId="0" fillId="7" fontId="395" numFmtId="0" xfId="0" applyAlignment="1" applyFont="1">
      <alignment horizontal="center" readingOrder="0" vertical="top"/>
    </xf>
    <xf borderId="48" fillId="8" fontId="206" numFmtId="0" xfId="0" applyAlignment="1" applyBorder="1" applyFont="1">
      <alignment horizontal="center" vertical="bottom"/>
    </xf>
    <xf borderId="49" fillId="8" fontId="206" numFmtId="0" xfId="0" applyAlignment="1" applyBorder="1" applyFont="1">
      <alignment horizontal="center" vertical="bottom"/>
    </xf>
    <xf borderId="17" fillId="8" fontId="206" numFmtId="0" xfId="0" applyAlignment="1" applyBorder="1" applyFont="1">
      <alignment horizontal="center" vertical="bottom"/>
    </xf>
    <xf borderId="35" fillId="20" fontId="396" numFmtId="0" xfId="0" applyAlignment="1" applyBorder="1" applyFont="1">
      <alignment horizontal="center" readingOrder="0"/>
    </xf>
    <xf borderId="35" fillId="20" fontId="397" numFmtId="0" xfId="0" applyAlignment="1" applyBorder="1" applyFont="1">
      <alignment horizontal="center" readingOrder="0" vertical="center"/>
    </xf>
    <xf borderId="52" fillId="20" fontId="201" numFmtId="0" xfId="0" applyAlignment="1" applyBorder="1" applyFont="1">
      <alignment horizontal="center" readingOrder="0"/>
    </xf>
    <xf borderId="16" fillId="20" fontId="201" numFmtId="0" xfId="0" applyAlignment="1" applyBorder="1" applyFont="1">
      <alignment horizontal="center" readingOrder="0"/>
    </xf>
    <xf borderId="15" fillId="20" fontId="201" numFmtId="0" xfId="0" applyAlignment="1" applyBorder="1" applyFont="1">
      <alignment horizontal="center" readingOrder="0"/>
    </xf>
    <xf borderId="249" fillId="20" fontId="201" numFmtId="0" xfId="0" applyAlignment="1" applyBorder="1" applyFont="1">
      <alignment horizontal="center" readingOrder="0"/>
    </xf>
    <xf borderId="52" fillId="20" fontId="201" numFmtId="0" xfId="0" applyAlignment="1" applyBorder="1" applyFont="1">
      <alignment horizontal="center" readingOrder="0" vertical="center"/>
    </xf>
    <xf borderId="249" fillId="20" fontId="201" numFmtId="0" xfId="0" applyAlignment="1" applyBorder="1" applyFont="1">
      <alignment horizontal="center" readingOrder="0" vertical="center"/>
    </xf>
    <xf borderId="53" fillId="8" fontId="398" numFmtId="0" xfId="0" applyAlignment="1" applyBorder="1" applyFont="1">
      <alignment horizontal="center" readingOrder="0" textRotation="90" vertical="center"/>
    </xf>
    <xf borderId="75" fillId="7" fontId="399" numFmtId="0" xfId="0" applyAlignment="1" applyBorder="1" applyFont="1">
      <alignment horizontal="center" readingOrder="0" vertical="center"/>
    </xf>
    <xf borderId="50" fillId="7" fontId="400" numFmtId="0" xfId="0" applyAlignment="1" applyBorder="1" applyFont="1">
      <alignment readingOrder="0" vertical="center"/>
    </xf>
    <xf borderId="0" fillId="0" fontId="207" numFmtId="0" xfId="0" applyAlignment="1" applyFont="1">
      <alignment horizontal="center" readingOrder="0" vertical="center"/>
    </xf>
    <xf borderId="47" fillId="0" fontId="207" numFmtId="0" xfId="0" applyAlignment="1" applyBorder="1" applyFont="1">
      <alignment horizontal="center" readingOrder="0" vertical="center"/>
    </xf>
    <xf borderId="42" fillId="4" fontId="401" numFmtId="0" xfId="0" applyAlignment="1" applyBorder="1" applyFont="1">
      <alignment horizontal="center" readingOrder="0"/>
    </xf>
    <xf borderId="78" fillId="4" fontId="401" numFmtId="0" xfId="0" applyAlignment="1" applyBorder="1" applyFont="1">
      <alignment horizontal="center" readingOrder="0"/>
    </xf>
    <xf borderId="50" fillId="7" fontId="402" numFmtId="0" xfId="0" applyAlignment="1" applyBorder="1" applyFont="1">
      <alignment readingOrder="0" vertical="center"/>
    </xf>
    <xf borderId="0" fillId="4" fontId="401" numFmtId="0" xfId="0" applyAlignment="1" applyFont="1">
      <alignment horizontal="center"/>
    </xf>
    <xf borderId="47" fillId="4" fontId="401" numFmtId="0" xfId="0" applyAlignment="1" applyBorder="1" applyFont="1">
      <alignment horizontal="center"/>
    </xf>
    <xf borderId="50" fillId="7" fontId="403" numFmtId="0" xfId="0" applyBorder="1" applyFont="1"/>
    <xf borderId="0" fillId="20" fontId="208" numFmtId="0" xfId="0" applyAlignment="1" applyFont="1">
      <alignment horizontal="center"/>
    </xf>
    <xf borderId="47" fillId="20" fontId="208" numFmtId="0" xfId="0" applyAlignment="1" applyBorder="1" applyFont="1">
      <alignment horizontal="center"/>
    </xf>
    <xf borderId="50" fillId="7" fontId="404" numFmtId="0" xfId="0" applyAlignment="1" applyBorder="1" applyFont="1">
      <alignment readingOrder="0"/>
    </xf>
    <xf borderId="53" fillId="21" fontId="284" numFmtId="0" xfId="0" applyAlignment="1" applyBorder="1" applyFont="1">
      <alignment horizontal="center"/>
    </xf>
    <xf borderId="0" fillId="22" fontId="284" numFmtId="0" xfId="0" applyAlignment="1" applyFont="1">
      <alignment horizontal="center"/>
    </xf>
    <xf borderId="47" fillId="22" fontId="284" numFmtId="0" xfId="0" applyAlignment="1" applyBorder="1" applyFont="1">
      <alignment horizontal="center"/>
    </xf>
    <xf borderId="0" fillId="4" fontId="401" numFmtId="0" xfId="0" applyAlignment="1" applyFont="1">
      <alignment horizontal="center" readingOrder="0"/>
    </xf>
    <xf borderId="47" fillId="4" fontId="401" numFmtId="0" xfId="0" applyAlignment="1" applyBorder="1" applyFont="1">
      <alignment horizontal="center" readingOrder="0"/>
    </xf>
    <xf borderId="50" fillId="7" fontId="404" numFmtId="0" xfId="0" applyBorder="1" applyFont="1"/>
    <xf borderId="63" fillId="7" fontId="403" numFmtId="0" xfId="0" applyBorder="1" applyFont="1"/>
    <xf borderId="50" fillId="34" fontId="405" numFmtId="0" xfId="0" applyAlignment="1" applyBorder="1" applyFont="1">
      <alignment horizontal="center" readingOrder="0" vertical="center"/>
    </xf>
    <xf borderId="0" fillId="34" fontId="406" numFmtId="0" xfId="0" applyAlignment="1" applyFont="1">
      <alignment readingOrder="0" vertical="center"/>
    </xf>
    <xf borderId="0" fillId="34" fontId="407" numFmtId="0" xfId="0" applyAlignment="1" applyFont="1">
      <alignment readingOrder="0" vertical="center"/>
    </xf>
    <xf borderId="0" fillId="34" fontId="408" numFmtId="0" xfId="0" applyAlignment="1" applyFont="1">
      <alignment readingOrder="0" vertical="center"/>
    </xf>
    <xf borderId="0" fillId="34" fontId="295" numFmtId="0" xfId="0" applyAlignment="1" applyFont="1">
      <alignment readingOrder="0" shrinkToFit="0" vertical="center" wrapText="0"/>
    </xf>
    <xf borderId="44" fillId="34" fontId="295" numFmtId="0" xfId="0" applyAlignment="1" applyBorder="1" applyFont="1">
      <alignment readingOrder="0" shrinkToFit="0" vertical="center" wrapText="0"/>
    </xf>
    <xf borderId="59" fillId="40" fontId="393" numFmtId="0" xfId="0" applyAlignment="1" applyBorder="1" applyFont="1">
      <alignment horizontal="center" readingOrder="0" vertical="center"/>
    </xf>
    <xf borderId="50" fillId="40" fontId="206" numFmtId="0" xfId="0" applyAlignment="1" applyBorder="1" applyFont="1">
      <alignment horizontal="left" readingOrder="0" vertical="center"/>
    </xf>
    <xf borderId="50" fillId="40" fontId="409" numFmtId="0" xfId="0" applyAlignment="1" applyBorder="1" applyFont="1">
      <alignment horizontal="left" readingOrder="0" vertical="center"/>
    </xf>
    <xf borderId="69" fillId="36" fontId="410" numFmtId="0" xfId="0" applyAlignment="1" applyBorder="1" applyFont="1">
      <alignment horizontal="center" readingOrder="0" vertical="center"/>
    </xf>
    <xf borderId="69" fillId="36" fontId="411" numFmtId="0" xfId="0" applyAlignment="1" applyBorder="1" applyFont="1">
      <alignment horizontal="left" readingOrder="0" vertical="center"/>
    </xf>
    <xf borderId="45" fillId="4" fontId="401" numFmtId="0" xfId="0" applyAlignment="1" applyBorder="1" applyFont="1">
      <alignment horizontal="center" readingOrder="0"/>
    </xf>
    <xf borderId="46" fillId="4" fontId="401" numFmtId="0" xfId="0" applyAlignment="1" applyBorder="1" applyFont="1">
      <alignment horizontal="center" readingOrder="0"/>
    </xf>
    <xf borderId="55" fillId="20" fontId="183" numFmtId="0" xfId="0" applyAlignment="1" applyBorder="1" applyFont="1">
      <alignment horizontal="center" vertical="center"/>
    </xf>
    <xf borderId="56" fillId="20" fontId="183" numFmtId="0" xfId="0" applyAlignment="1" applyBorder="1" applyFont="1">
      <alignment horizontal="center" vertical="center"/>
    </xf>
    <xf borderId="57" fillId="20" fontId="412" numFmtId="0" xfId="0" applyBorder="1" applyFont="1"/>
    <xf borderId="56" fillId="20" fontId="413" numFmtId="0" xfId="0" applyAlignment="1" applyBorder="1" applyFont="1">
      <alignment vertical="center"/>
    </xf>
    <xf borderId="57" fillId="20" fontId="414" numFmtId="0" xfId="0" applyAlignment="1" applyBorder="1" applyFont="1">
      <alignment vertical="center"/>
    </xf>
    <xf borderId="45" fillId="20" fontId="415" numFmtId="0" xfId="0" applyAlignment="1" applyBorder="1" applyFont="1">
      <alignment horizontal="center"/>
    </xf>
    <xf borderId="46" fillId="20" fontId="416" numFmtId="0" xfId="0" applyAlignment="1" applyBorder="1" applyFont="1">
      <alignment horizontal="center"/>
    </xf>
    <xf borderId="59" fillId="8" fontId="398" numFmtId="0" xfId="0" applyAlignment="1" applyBorder="1" applyFont="1">
      <alignment horizontal="center" readingOrder="0" textRotation="90" vertical="center"/>
    </xf>
    <xf borderId="75" fillId="38" fontId="405" numFmtId="0" xfId="0" applyAlignment="1" applyBorder="1" applyFont="1">
      <alignment horizontal="center" readingOrder="0" vertical="center"/>
    </xf>
    <xf borderId="50" fillId="38" fontId="417" numFmtId="0" xfId="0" applyAlignment="1" applyBorder="1" applyFont="1">
      <alignment readingOrder="0" vertical="bottom"/>
    </xf>
    <xf borderId="50" fillId="38" fontId="295" numFmtId="0" xfId="0" applyAlignment="1" applyBorder="1" applyFont="1">
      <alignment readingOrder="0" vertical="bottom"/>
    </xf>
    <xf borderId="50" fillId="38" fontId="295" numFmtId="0" xfId="0" applyAlignment="1" applyBorder="1" applyFont="1">
      <alignment readingOrder="0" shrinkToFit="0" vertical="bottom" wrapText="0"/>
    </xf>
    <xf borderId="50" fillId="38" fontId="408" numFmtId="0" xfId="0" applyAlignment="1" applyBorder="1" applyFont="1">
      <alignment readingOrder="0"/>
    </xf>
    <xf borderId="50" fillId="38" fontId="407" numFmtId="0" xfId="0" applyAlignment="1" applyBorder="1" applyFont="1">
      <alignment readingOrder="0"/>
    </xf>
    <xf borderId="50" fillId="38" fontId="406" numFmtId="0" xfId="0" applyAlignment="1" applyBorder="1" applyFont="1">
      <alignment readingOrder="0"/>
    </xf>
    <xf borderId="69" fillId="23" fontId="418" numFmtId="0" xfId="0" applyAlignment="1" applyBorder="1" applyFont="1">
      <alignment horizontal="center" readingOrder="0" vertical="center"/>
    </xf>
    <xf borderId="69" fillId="23" fontId="419" numFmtId="0" xfId="0" applyAlignment="1" applyBorder="1" applyFont="1">
      <alignment readingOrder="0"/>
    </xf>
    <xf borderId="69" fillId="41" fontId="420" numFmtId="0" xfId="0" applyAlignment="1" applyBorder="1" applyFont="1">
      <alignment horizontal="center" readingOrder="0" vertical="center"/>
    </xf>
    <xf borderId="69" fillId="41" fontId="421" numFmtId="0" xfId="0" applyAlignment="1" applyBorder="1" applyFont="1">
      <alignment readingOrder="0"/>
    </xf>
    <xf borderId="73" fillId="4" fontId="401" numFmtId="0" xfId="0" applyAlignment="1" applyBorder="1" applyFont="1">
      <alignment horizontal="center" readingOrder="0"/>
    </xf>
    <xf borderId="35" fillId="4" fontId="401" numFmtId="0" xfId="0" applyAlignment="1" applyBorder="1" applyFont="1">
      <alignment horizontal="center" readingOrder="0"/>
    </xf>
    <xf borderId="232" fillId="20" fontId="422" numFmtId="0" xfId="0" applyAlignment="1" applyBorder="1" applyFont="1">
      <alignment horizontal="center" readingOrder="0" vertical="center"/>
    </xf>
    <xf borderId="232" fillId="20" fontId="423" numFmtId="0" xfId="0" applyAlignment="1" applyBorder="1" applyFont="1">
      <alignment readingOrder="0"/>
    </xf>
    <xf borderId="15" fillId="20" fontId="183" numFmtId="0" xfId="0" applyBorder="1" applyFont="1"/>
    <xf borderId="73" fillId="20" fontId="183" numFmtId="0" xfId="0" applyBorder="1" applyFont="1"/>
    <xf borderId="25" fillId="20" fontId="183" numFmtId="0" xfId="0" applyBorder="1" applyFont="1"/>
    <xf borderId="27" fillId="20" fontId="364" numFmtId="0" xfId="0" applyAlignment="1" applyBorder="1" applyFont="1">
      <alignment vertical="bottom"/>
    </xf>
    <xf borderId="16" fillId="20" fontId="364" numFmtId="0" xfId="0" applyAlignment="1" applyBorder="1" applyFont="1">
      <alignment vertical="bottom"/>
    </xf>
    <xf borderId="16" fillId="20" fontId="364" numFmtId="0" xfId="0" applyAlignment="1" applyBorder="1" applyFont="1">
      <alignment horizontal="center" vertical="center"/>
    </xf>
    <xf borderId="27" fillId="20" fontId="364" numFmtId="0" xfId="0" applyAlignment="1" applyBorder="1" applyFont="1">
      <alignment horizontal="center" vertical="center"/>
    </xf>
    <xf borderId="73" fillId="20" fontId="364" numFmtId="0" xfId="0" applyAlignment="1" applyBorder="1" applyFont="1">
      <alignment horizontal="center"/>
    </xf>
    <xf borderId="35" fillId="20" fontId="364" numFmtId="0" xfId="0" applyAlignment="1" applyBorder="1" applyFont="1">
      <alignment horizontal="center"/>
    </xf>
    <xf borderId="31" fillId="8" fontId="424" numFmtId="0" xfId="0" applyAlignment="1" applyBorder="1" applyFont="1">
      <alignment horizontal="center" textRotation="90" vertical="center"/>
    </xf>
    <xf borderId="0" fillId="24" fontId="425" numFmtId="0" xfId="0" applyFont="1"/>
    <xf borderId="47" fillId="22" fontId="207" numFmtId="0" xfId="0" applyAlignment="1" applyBorder="1" applyFont="1">
      <alignment horizontal="right" vertical="bottom"/>
    </xf>
    <xf borderId="50" fillId="22" fontId="207" numFmtId="0" xfId="0" applyAlignment="1" applyBorder="1" applyFont="1">
      <alignment horizontal="right" vertical="bottom"/>
    </xf>
    <xf borderId="50" fillId="22" fontId="207" numFmtId="0" xfId="0" applyAlignment="1" applyBorder="1" applyFont="1">
      <alignment horizontal="right" vertical="center"/>
    </xf>
    <xf borderId="50" fillId="22" fontId="207" numFmtId="0" xfId="0" applyAlignment="1" applyBorder="1" applyFont="1">
      <alignment horizontal="right"/>
    </xf>
    <xf borderId="0" fillId="21" fontId="425" numFmtId="0" xfId="0" applyFont="1"/>
    <xf borderId="47" fillId="25" fontId="207" numFmtId="0" xfId="0" applyAlignment="1" applyBorder="1" applyFont="1">
      <alignment horizontal="right" vertical="bottom"/>
    </xf>
    <xf borderId="50" fillId="25" fontId="207" numFmtId="0" xfId="0" applyAlignment="1" applyBorder="1" applyFont="1">
      <alignment horizontal="right" vertical="bottom"/>
    </xf>
    <xf borderId="50" fillId="25" fontId="207" numFmtId="0" xfId="0" applyAlignment="1" applyBorder="1" applyFont="1">
      <alignment horizontal="right" vertical="center"/>
    </xf>
    <xf borderId="50" fillId="25" fontId="207" numFmtId="0" xfId="0" applyAlignment="1" applyBorder="1" applyFont="1">
      <alignment horizontal="right"/>
    </xf>
    <xf borderId="0" fillId="26" fontId="425" numFmtId="0" xfId="0" applyFont="1"/>
    <xf borderId="47" fillId="26" fontId="207" numFmtId="0" xfId="0" applyAlignment="1" applyBorder="1" applyFont="1">
      <alignment horizontal="right" vertical="bottom"/>
    </xf>
    <xf borderId="50" fillId="26" fontId="207" numFmtId="0" xfId="0" applyAlignment="1" applyBorder="1" applyFont="1">
      <alignment horizontal="right" vertical="bottom"/>
    </xf>
    <xf borderId="50" fillId="26" fontId="207" numFmtId="0" xfId="0" applyAlignment="1" applyBorder="1" applyFont="1">
      <alignment horizontal="right" vertical="center"/>
    </xf>
    <xf borderId="50" fillId="26" fontId="207" numFmtId="0" xfId="0" applyAlignment="1" applyBorder="1" applyFont="1">
      <alignment horizontal="right"/>
    </xf>
    <xf borderId="0" fillId="4" fontId="426" numFmtId="0" xfId="0" applyFont="1"/>
    <xf borderId="47" fillId="4" fontId="401" numFmtId="0" xfId="0" applyAlignment="1" applyBorder="1" applyFont="1">
      <alignment horizontal="right" vertical="bottom"/>
    </xf>
    <xf borderId="50" fillId="4" fontId="401" numFmtId="0" xfId="0" applyAlignment="1" applyBorder="1" applyFont="1">
      <alignment horizontal="right" vertical="bottom"/>
    </xf>
    <xf borderId="50" fillId="4" fontId="401" numFmtId="0" xfId="0" applyAlignment="1" applyBorder="1" applyFont="1">
      <alignment horizontal="right" vertical="center"/>
    </xf>
    <xf borderId="50" fillId="4" fontId="401" numFmtId="0" xfId="0" applyAlignment="1" applyBorder="1" applyFont="1">
      <alignment horizontal="right"/>
    </xf>
    <xf borderId="0" fillId="14" fontId="425" numFmtId="0" xfId="0" applyFont="1"/>
    <xf borderId="47" fillId="14" fontId="207" numFmtId="0" xfId="0" applyAlignment="1" applyBorder="1" applyFont="1">
      <alignment horizontal="right" vertical="bottom"/>
    </xf>
    <xf borderId="50" fillId="14" fontId="207" numFmtId="0" xfId="0" applyAlignment="1" applyBorder="1" applyFont="1">
      <alignment horizontal="right" vertical="bottom"/>
    </xf>
    <xf borderId="50" fillId="14" fontId="207" numFmtId="0" xfId="0" applyAlignment="1" applyBorder="1" applyFont="1">
      <alignment horizontal="right" vertical="center"/>
    </xf>
    <xf borderId="50" fillId="14" fontId="207" numFmtId="0" xfId="0" applyAlignment="1" applyBorder="1" applyFont="1">
      <alignment horizontal="right"/>
    </xf>
    <xf borderId="0" fillId="0" fontId="425" numFmtId="0" xfId="0" applyFont="1"/>
    <xf borderId="47" fillId="0" fontId="207" numFmtId="0" xfId="0" applyAlignment="1" applyBorder="1" applyFont="1">
      <alignment horizontal="right" vertical="bottom"/>
    </xf>
    <xf borderId="50" fillId="0" fontId="207" numFmtId="0" xfId="0" applyAlignment="1" applyBorder="1" applyFont="1">
      <alignment horizontal="right" vertical="bottom"/>
    </xf>
    <xf borderId="50" fillId="0" fontId="207" numFmtId="0" xfId="0" applyAlignment="1" applyBorder="1" applyFont="1">
      <alignment horizontal="right" vertical="center"/>
    </xf>
    <xf borderId="50" fillId="0" fontId="207" numFmtId="0" xfId="0" applyAlignment="1" applyBorder="1" applyFont="1">
      <alignment horizontal="right"/>
    </xf>
    <xf borderId="45" fillId="0" fontId="425" numFmtId="9" xfId="0" applyBorder="1" applyFont="1" applyNumberFormat="1"/>
    <xf borderId="46" fillId="0" fontId="207" numFmtId="9" xfId="0" applyAlignment="1" applyBorder="1" applyFont="1" applyNumberFormat="1">
      <alignment horizontal="right" vertical="bottom"/>
    </xf>
    <xf borderId="63" fillId="0" fontId="207" numFmtId="9" xfId="0" applyAlignment="1" applyBorder="1" applyFont="1" applyNumberFormat="1">
      <alignment horizontal="right" vertical="bottom"/>
    </xf>
    <xf borderId="63" fillId="0" fontId="207" numFmtId="9" xfId="0" applyAlignment="1" applyBorder="1" applyFont="1" applyNumberFormat="1">
      <alignment horizontal="right" vertical="center"/>
    </xf>
    <xf borderId="63" fillId="0" fontId="207" numFmtId="9" xfId="0" applyAlignment="1" applyBorder="1" applyFont="1" applyNumberFormat="1">
      <alignment horizontal="right"/>
    </xf>
    <xf borderId="149" fillId="2" fontId="427" numFmtId="0" xfId="0" applyAlignment="1" applyBorder="1" applyFont="1">
      <alignment readingOrder="0" vertical="bottom"/>
    </xf>
    <xf borderId="263" fillId="8" fontId="422" numFmtId="0" xfId="0" applyAlignment="1" applyBorder="1" applyFont="1">
      <alignment horizontal="center" readingOrder="0" vertical="center"/>
    </xf>
    <xf borderId="16" fillId="8" fontId="428" numFmtId="0" xfId="0" applyAlignment="1" applyBorder="1" applyFont="1">
      <alignment horizontal="center" vertical="center"/>
    </xf>
    <xf borderId="105" fillId="2" fontId="269" numFmtId="0" xfId="0" applyAlignment="1" applyBorder="1" applyFont="1">
      <alignment vertical="bottom"/>
    </xf>
    <xf borderId="18" fillId="8" fontId="429" numFmtId="0" xfId="0" applyAlignment="1" applyBorder="1" applyFont="1">
      <alignment horizontal="center" readingOrder="0" vertical="center"/>
    </xf>
    <xf borderId="265" fillId="8" fontId="201" numFmtId="0" xfId="0" applyAlignment="1" applyBorder="1" applyFont="1">
      <alignment horizontal="center" readingOrder="0"/>
    </xf>
    <xf borderId="266" fillId="8" fontId="201" numFmtId="0" xfId="0" applyAlignment="1" applyBorder="1" applyFont="1">
      <alignment horizontal="center" readingOrder="0"/>
    </xf>
    <xf borderId="267" fillId="8" fontId="201" numFmtId="0" xfId="0" applyAlignment="1" applyBorder="1" applyFont="1">
      <alignment horizontal="center" readingOrder="0"/>
    </xf>
    <xf borderId="35" fillId="20" fontId="393" numFmtId="0" xfId="0" applyAlignment="1" applyBorder="1" applyFont="1">
      <alignment horizontal="center" readingOrder="0"/>
    </xf>
    <xf borderId="79" fillId="20" fontId="201" numFmtId="0" xfId="0" applyAlignment="1" applyBorder="1" applyFont="1">
      <alignment horizontal="center" readingOrder="0"/>
    </xf>
    <xf borderId="42" fillId="20" fontId="201" numFmtId="0" xfId="0" applyAlignment="1" applyBorder="1" applyFont="1">
      <alignment horizontal="center" readingOrder="0"/>
    </xf>
    <xf borderId="75" fillId="8" fontId="393" numFmtId="0" xfId="0" applyAlignment="1" applyBorder="1" applyFont="1">
      <alignment horizontal="center" readingOrder="0" vertical="center"/>
    </xf>
    <xf borderId="74" fillId="7" fontId="399" numFmtId="0" xfId="0" applyAlignment="1" applyBorder="1" applyFont="1">
      <alignment horizontal="center" readingOrder="0" vertical="center"/>
    </xf>
    <xf borderId="76" fillId="7" fontId="403" numFmtId="0" xfId="0" applyAlignment="1" applyBorder="1" applyFont="1">
      <alignment horizontal="left" readingOrder="0" vertical="center"/>
    </xf>
    <xf borderId="47" fillId="0" fontId="392" numFmtId="0" xfId="0" applyAlignment="1" applyBorder="1" applyFont="1">
      <alignment horizontal="center" readingOrder="0" vertical="center"/>
    </xf>
    <xf borderId="46" fillId="7" fontId="430" numFmtId="0" xfId="0" applyAlignment="1" applyBorder="1" applyFont="1">
      <alignment horizontal="left" readingOrder="0" vertical="center"/>
    </xf>
    <xf borderId="50" fillId="20" fontId="208" numFmtId="0" xfId="0" applyAlignment="1" applyBorder="1" applyFont="1">
      <alignment horizontal="center" readingOrder="0" vertical="center"/>
    </xf>
    <xf borderId="56" fillId="34" fontId="405" numFmtId="0" xfId="0" applyAlignment="1" applyBorder="1" applyFont="1">
      <alignment horizontal="center" readingOrder="0" vertical="center"/>
    </xf>
    <xf borderId="46" fillId="34" fontId="294" numFmtId="0" xfId="0" applyAlignment="1" applyBorder="1" applyFont="1">
      <alignment horizontal="left" readingOrder="0" vertical="center"/>
    </xf>
    <xf borderId="56" fillId="40" fontId="431" numFmtId="0" xfId="0" applyAlignment="1" applyBorder="1" applyFont="1">
      <alignment horizontal="center" readingOrder="0" vertical="center"/>
    </xf>
    <xf borderId="57" fillId="40" fontId="206" numFmtId="0" xfId="0" applyAlignment="1" applyBorder="1" applyFont="1">
      <alignment horizontal="left" readingOrder="0" vertical="center"/>
    </xf>
    <xf borderId="44" fillId="20" fontId="183" numFmtId="0" xfId="0" applyBorder="1" applyFont="1"/>
    <xf borderId="45" fillId="20" fontId="183" numFmtId="0" xfId="0" applyBorder="1" applyFont="1"/>
    <xf borderId="45" fillId="20" fontId="175" numFmtId="0" xfId="0" applyAlignment="1" applyBorder="1" applyFont="1">
      <alignment horizontal="left"/>
    </xf>
    <xf borderId="57" fillId="20" fontId="432" numFmtId="0" xfId="0" applyAlignment="1" applyBorder="1" applyFont="1">
      <alignment horizontal="center" vertical="center"/>
    </xf>
    <xf borderId="56" fillId="20" fontId="433" numFmtId="0" xfId="0" applyBorder="1" applyFont="1"/>
    <xf borderId="56" fillId="20" fontId="434" numFmtId="0" xfId="0" applyBorder="1" applyFont="1"/>
    <xf borderId="57" fillId="20" fontId="435" numFmtId="0" xfId="0" applyAlignment="1" applyBorder="1" applyFont="1">
      <alignment horizontal="center" shrinkToFit="0" vertical="center" wrapText="0"/>
    </xf>
    <xf borderId="57" fillId="20" fontId="340" numFmtId="0" xfId="0" applyAlignment="1" applyBorder="1" applyFont="1">
      <alignment horizontal="center" shrinkToFit="0" vertical="center" wrapText="0"/>
    </xf>
    <xf borderId="74" fillId="38" fontId="405" numFmtId="0" xfId="0" applyAlignment="1" applyBorder="1" applyFont="1">
      <alignment horizontal="center" readingOrder="0" vertical="center"/>
    </xf>
    <xf borderId="0" fillId="38" fontId="294" numFmtId="0" xfId="0" applyAlignment="1" applyFont="1">
      <alignment horizontal="left" readingOrder="0" vertical="center"/>
    </xf>
    <xf borderId="0" fillId="38" fontId="417" numFmtId="0" xfId="0" applyAlignment="1" applyFont="1">
      <alignment horizontal="left" readingOrder="0" vertical="center"/>
    </xf>
    <xf borderId="45" fillId="38" fontId="294" numFmtId="0" xfId="0" applyAlignment="1" applyBorder="1" applyFont="1">
      <alignment horizontal="left" readingOrder="0" vertical="center"/>
    </xf>
    <xf borderId="74" fillId="23" fontId="436" numFmtId="0" xfId="0" applyAlignment="1" applyBorder="1" applyFont="1">
      <alignment horizontal="center" readingOrder="0" vertical="center"/>
    </xf>
    <xf borderId="0" fillId="23" fontId="419" numFmtId="0" xfId="0" applyAlignment="1" applyFont="1">
      <alignment horizontal="left" readingOrder="0" vertical="center"/>
    </xf>
    <xf borderId="45" fillId="23" fontId="419" numFmtId="0" xfId="0" applyAlignment="1" applyBorder="1" applyFont="1">
      <alignment horizontal="left" readingOrder="0" vertical="center"/>
    </xf>
    <xf borderId="60" fillId="20" fontId="183" numFmtId="0" xfId="0" applyBorder="1" applyFont="1"/>
    <xf borderId="35" fillId="20" fontId="183" numFmtId="0" xfId="0" applyBorder="1" applyFont="1"/>
    <xf borderId="16" fillId="20" fontId="340" numFmtId="0" xfId="0" applyAlignment="1" applyBorder="1" applyFont="1">
      <alignment readingOrder="0" shrinkToFit="0" wrapText="0"/>
    </xf>
    <xf borderId="0" fillId="8" fontId="424" numFmtId="0" xfId="0" applyAlignment="1" applyFont="1">
      <alignment horizontal="center" readingOrder="0" textRotation="90" vertical="center"/>
    </xf>
    <xf borderId="30" fillId="22" fontId="437" numFmtId="0" xfId="0" applyAlignment="1" applyBorder="1" applyFont="1">
      <alignment vertical="center"/>
    </xf>
    <xf borderId="51" fillId="22" fontId="207" numFmtId="0" xfId="0" applyAlignment="1" applyBorder="1" applyFont="1">
      <alignment horizontal="right" vertical="bottom"/>
    </xf>
    <xf borderId="30" fillId="25" fontId="437" numFmtId="0" xfId="0" applyAlignment="1" applyBorder="1" applyFont="1">
      <alignment vertical="center"/>
    </xf>
    <xf borderId="51" fillId="25" fontId="207" numFmtId="0" xfId="0" applyAlignment="1" applyBorder="1" applyFont="1">
      <alignment horizontal="right" vertical="bottom"/>
    </xf>
    <xf borderId="30" fillId="26" fontId="425" numFmtId="0" xfId="0" applyAlignment="1" applyBorder="1" applyFont="1">
      <alignment vertical="center"/>
    </xf>
    <xf borderId="51" fillId="26" fontId="207" numFmtId="0" xfId="0" applyAlignment="1" applyBorder="1" applyFont="1">
      <alignment horizontal="right" vertical="bottom"/>
    </xf>
    <xf borderId="30" fillId="4" fontId="426" numFmtId="0" xfId="0" applyAlignment="1" applyBorder="1" applyFont="1">
      <alignment vertical="center"/>
    </xf>
    <xf borderId="51" fillId="4" fontId="401" numFmtId="0" xfId="0" applyAlignment="1" applyBorder="1" applyFont="1">
      <alignment horizontal="right" vertical="bottom"/>
    </xf>
    <xf borderId="30" fillId="14" fontId="425" numFmtId="0" xfId="0" applyAlignment="1" applyBorder="1" applyFont="1">
      <alignment vertical="center"/>
    </xf>
    <xf borderId="31" fillId="14" fontId="207" numFmtId="0" xfId="0" applyAlignment="1" applyBorder="1" applyFont="1">
      <alignment horizontal="right" vertical="bottom"/>
    </xf>
    <xf borderId="30" fillId="0" fontId="425" numFmtId="0" xfId="0" applyAlignment="1" applyBorder="1" applyFont="1">
      <alignment vertical="center"/>
    </xf>
    <xf borderId="31" fillId="0" fontId="207" numFmtId="0" xfId="0" applyAlignment="1" applyBorder="1" applyFont="1">
      <alignment horizontal="right" vertical="bottom"/>
    </xf>
    <xf borderId="115" fillId="0" fontId="425" numFmtId="9" xfId="0" applyAlignment="1" applyBorder="1" applyFont="1" applyNumberFormat="1">
      <alignment vertical="center"/>
    </xf>
    <xf borderId="61" fillId="0" fontId="207" numFmtId="9" xfId="0" applyAlignment="1" applyBorder="1" applyFont="1" applyNumberFormat="1">
      <alignment horizontal="right" vertical="bottom"/>
    </xf>
    <xf borderId="0" fillId="34" fontId="25" numFmtId="0" xfId="0" applyAlignment="1" applyFont="1">
      <alignment horizontal="center" readingOrder="0" vertical="top"/>
    </xf>
    <xf borderId="60" fillId="20" fontId="201" numFmtId="0" xfId="0" applyAlignment="1" applyBorder="1" applyFont="1">
      <alignment horizontal="center" readingOrder="0"/>
    </xf>
    <xf borderId="60" fillId="20" fontId="201" numFmtId="0" xfId="0" applyAlignment="1" applyBorder="1" applyFont="1">
      <alignment horizontal="center" readingOrder="0" vertical="center"/>
    </xf>
    <xf borderId="73" fillId="20" fontId="269" numFmtId="0" xfId="0" applyAlignment="1" applyBorder="1" applyFont="1">
      <alignment vertical="bottom"/>
    </xf>
    <xf borderId="252" fillId="34" fontId="405" numFmtId="0" xfId="0" applyAlignment="1" applyBorder="1" applyFont="1">
      <alignment horizontal="center" readingOrder="0" vertical="center"/>
    </xf>
    <xf borderId="47" fillId="34" fontId="406" numFmtId="0" xfId="0" applyAlignment="1" applyBorder="1" applyFont="1">
      <alignment readingOrder="0" vertical="center"/>
    </xf>
    <xf borderId="47" fillId="4" fontId="284" numFmtId="0" xfId="0" applyAlignment="1" applyBorder="1" applyFont="1">
      <alignment horizontal="center" readingOrder="0" vertical="center"/>
    </xf>
    <xf borderId="0" fillId="4" fontId="401" numFmtId="0" xfId="0" applyAlignment="1" applyFont="1">
      <alignment horizontal="center" readingOrder="0" vertical="center"/>
    </xf>
    <xf borderId="47" fillId="4" fontId="401" numFmtId="0" xfId="0" applyAlignment="1" applyBorder="1" applyFont="1">
      <alignment horizontal="center" readingOrder="0" vertical="center"/>
    </xf>
    <xf borderId="0" fillId="4" fontId="284" numFmtId="0" xfId="0" applyAlignment="1" applyFont="1">
      <alignment horizontal="center" readingOrder="0" vertical="center"/>
    </xf>
    <xf borderId="53" fillId="4" fontId="401" numFmtId="0" xfId="0" applyAlignment="1" applyBorder="1" applyFont="1">
      <alignment horizontal="center" readingOrder="0" vertical="center"/>
    </xf>
    <xf borderId="79" fillId="4" fontId="401" numFmtId="0" xfId="0" applyAlignment="1" applyBorder="1" applyFont="1">
      <alignment horizontal="center" readingOrder="0" vertical="center"/>
    </xf>
    <xf borderId="42" fillId="4" fontId="401" numFmtId="0" xfId="0" applyAlignment="1" applyBorder="1" applyFont="1">
      <alignment horizontal="center" readingOrder="0" vertical="center"/>
    </xf>
    <xf borderId="78" fillId="4" fontId="401" numFmtId="0" xfId="0" applyAlignment="1" applyBorder="1" applyFont="1">
      <alignment horizontal="center" readingOrder="0" vertical="center"/>
    </xf>
    <xf borderId="47" fillId="34" fontId="407" numFmtId="0" xfId="0" applyAlignment="1" applyBorder="1" applyFont="1">
      <alignment readingOrder="0" vertical="center"/>
    </xf>
    <xf borderId="47" fillId="34" fontId="408" numFmtId="0" xfId="0" applyAlignment="1" applyBorder="1" applyFont="1">
      <alignment readingOrder="0" vertical="center"/>
    </xf>
    <xf borderId="53" fillId="4" fontId="401" numFmtId="0" xfId="0" applyAlignment="1" applyBorder="1" applyFont="1">
      <alignment horizontal="center" vertical="center"/>
    </xf>
    <xf borderId="0" fillId="4" fontId="401" numFmtId="0" xfId="0" applyAlignment="1" applyFont="1">
      <alignment horizontal="center" vertical="center"/>
    </xf>
    <xf borderId="47" fillId="4" fontId="401" numFmtId="0" xfId="0" applyAlignment="1" applyBorder="1" applyFont="1">
      <alignment horizontal="center" vertical="center"/>
    </xf>
    <xf borderId="53" fillId="0" fontId="207" numFmtId="0" xfId="0" applyAlignment="1" applyBorder="1" applyFont="1">
      <alignment horizontal="center" readingOrder="0" vertical="center"/>
    </xf>
    <xf borderId="46" fillId="0" fontId="207" numFmtId="0" xfId="0" applyAlignment="1" applyBorder="1" applyFont="1">
      <alignment horizontal="center" readingOrder="0" vertical="center"/>
    </xf>
    <xf borderId="44" fillId="0" fontId="207" numFmtId="0" xfId="0" applyAlignment="1" applyBorder="1" applyFont="1">
      <alignment horizontal="center" readingOrder="0" vertical="center"/>
    </xf>
    <xf borderId="45" fillId="20" fontId="208" numFmtId="0" xfId="0" applyAlignment="1" applyBorder="1" applyFont="1">
      <alignment horizontal="center" vertical="center"/>
    </xf>
    <xf borderId="46" fillId="20" fontId="208" numFmtId="0" xfId="0" applyAlignment="1" applyBorder="1" applyFont="1">
      <alignment horizontal="center" vertical="center"/>
    </xf>
    <xf borderId="0" fillId="20" fontId="208" numFmtId="0" xfId="0" applyAlignment="1" applyFont="1">
      <alignment horizontal="center" vertical="center"/>
    </xf>
    <xf borderId="53" fillId="20" fontId="208" numFmtId="0" xfId="0" applyAlignment="1" applyBorder="1" applyFont="1">
      <alignment horizontal="center" vertical="center"/>
    </xf>
    <xf borderId="47" fillId="20" fontId="208" numFmtId="0" xfId="0" applyAlignment="1" applyBorder="1" applyFont="1">
      <alignment horizontal="center" vertical="center"/>
    </xf>
    <xf borderId="63" fillId="34" fontId="295" numFmtId="0" xfId="0" applyAlignment="1" applyBorder="1" applyFont="1">
      <alignment readingOrder="0" shrinkToFit="0" vertical="center" wrapText="0"/>
    </xf>
    <xf borderId="50" fillId="38" fontId="294" numFmtId="0" xfId="0" applyAlignment="1" applyBorder="1" applyFont="1">
      <alignment readingOrder="0" vertical="bottom"/>
    </xf>
    <xf borderId="50" fillId="38" fontId="408" numFmtId="0" xfId="0" applyAlignment="1" applyBorder="1" applyFont="1">
      <alignment readingOrder="0" vertical="center"/>
    </xf>
    <xf borderId="0" fillId="20" fontId="208" numFmtId="0" xfId="0" applyAlignment="1" applyFont="1">
      <alignment horizontal="center" readingOrder="0" vertical="center"/>
    </xf>
    <xf borderId="47" fillId="20" fontId="208" numFmtId="0" xfId="0" applyAlignment="1" applyBorder="1" applyFont="1">
      <alignment horizontal="center" readingOrder="0" vertical="center"/>
    </xf>
    <xf borderId="46" fillId="4" fontId="401" numFmtId="0" xfId="0" applyAlignment="1" applyBorder="1" applyFont="1">
      <alignment horizontal="center"/>
    </xf>
    <xf borderId="46" fillId="38" fontId="407" numFmtId="0" xfId="0" applyAlignment="1" applyBorder="1" applyFont="1">
      <alignment readingOrder="0"/>
    </xf>
    <xf borderId="44" fillId="20" fontId="208" numFmtId="0" xfId="0" applyAlignment="1" applyBorder="1" applyFont="1">
      <alignment horizontal="center" vertical="center"/>
    </xf>
    <xf borderId="45" fillId="20" fontId="208" numFmtId="0" xfId="0" applyAlignment="1" applyBorder="1" applyFont="1">
      <alignment horizontal="center"/>
    </xf>
    <xf borderId="45" fillId="0" fontId="208" numFmtId="0" xfId="0" applyAlignment="1" applyBorder="1" applyFont="1">
      <alignment horizontal="center" readingOrder="0" vertical="center"/>
    </xf>
    <xf borderId="46" fillId="0" fontId="208" numFmtId="0" xfId="0" applyAlignment="1" applyBorder="1" applyFont="1">
      <alignment horizontal="center" readingOrder="0" vertical="center"/>
    </xf>
    <xf borderId="0" fillId="0" fontId="208" numFmtId="0" xfId="0" applyAlignment="1" applyFont="1">
      <alignment horizontal="center" readingOrder="0" vertical="center"/>
    </xf>
    <xf borderId="45" fillId="20" fontId="183" numFmtId="0" xfId="0" applyAlignment="1" applyBorder="1" applyFont="1">
      <alignment horizontal="center" vertical="center"/>
    </xf>
    <xf borderId="46" fillId="20" fontId="438" numFmtId="0" xfId="0" applyBorder="1" applyFont="1"/>
    <xf borderId="45" fillId="20" fontId="439" numFmtId="0" xfId="0" applyAlignment="1" applyBorder="1" applyFont="1">
      <alignment vertical="center"/>
    </xf>
    <xf borderId="45" fillId="20" fontId="440" numFmtId="0" xfId="0" applyAlignment="1" applyBorder="1" applyFont="1">
      <alignment horizontal="center" vertical="center"/>
    </xf>
    <xf borderId="75" fillId="7" fontId="400" numFmtId="0" xfId="0" applyAlignment="1" applyBorder="1" applyFont="1">
      <alignment readingOrder="0" vertical="center"/>
    </xf>
    <xf borderId="50" fillId="7" fontId="441" numFmtId="0" xfId="0" applyAlignment="1" applyBorder="1" applyFont="1">
      <alignment readingOrder="0" vertical="center"/>
    </xf>
    <xf borderId="46" fillId="7" fontId="402" numFmtId="0" xfId="0" applyAlignment="1" applyBorder="1" applyFont="1">
      <alignment readingOrder="0" vertical="center"/>
    </xf>
    <xf borderId="53" fillId="22" fontId="284" numFmtId="0" xfId="0" applyAlignment="1" applyBorder="1" applyFont="1">
      <alignment horizontal="center"/>
    </xf>
    <xf borderId="47" fillId="21" fontId="284" numFmtId="0" xfId="0" applyAlignment="1" applyBorder="1" applyFont="1">
      <alignment horizontal="center"/>
    </xf>
    <xf borderId="75" fillId="23" fontId="418" numFmtId="0" xfId="0" applyAlignment="1" applyBorder="1" applyFont="1">
      <alignment horizontal="center" readingOrder="0" vertical="center"/>
    </xf>
    <xf borderId="71" fillId="41" fontId="420" numFmtId="0" xfId="0" applyAlignment="1" applyBorder="1" applyFont="1">
      <alignment horizontal="center" readingOrder="0" vertical="center"/>
    </xf>
    <xf borderId="75" fillId="41" fontId="421" numFmtId="0" xfId="0" applyAlignment="1" applyBorder="1" applyFont="1">
      <alignment readingOrder="0"/>
    </xf>
    <xf borderId="35" fillId="4" fontId="284" numFmtId="0" xfId="0" applyAlignment="1" applyBorder="1" applyFont="1">
      <alignment horizontal="center" readingOrder="0"/>
    </xf>
    <xf borderId="73" fillId="4" fontId="401" numFmtId="0" xfId="0" applyAlignment="1" applyBorder="1" applyFont="1">
      <alignment horizontal="center" readingOrder="0" vertical="center"/>
    </xf>
    <xf borderId="73" fillId="4" fontId="284" numFmtId="0" xfId="0" applyAlignment="1" applyBorder="1" applyFont="1">
      <alignment horizontal="center" readingOrder="0" vertical="center"/>
    </xf>
    <xf borderId="35" fillId="4" fontId="284" numFmtId="0" xfId="0" applyAlignment="1" applyBorder="1" applyFont="1">
      <alignment horizontal="center" readingOrder="0" vertical="center"/>
    </xf>
    <xf borderId="60" fillId="4" fontId="401" numFmtId="0" xfId="0" applyAlignment="1" applyBorder="1" applyFont="1">
      <alignment horizontal="center" readingOrder="0" vertical="center"/>
    </xf>
    <xf borderId="35" fillId="4" fontId="401" numFmtId="0" xfId="0" applyAlignment="1" applyBorder="1" applyFont="1">
      <alignment horizontal="center" readingOrder="0" vertical="center"/>
    </xf>
    <xf borderId="17" fillId="20" fontId="183" numFmtId="0" xfId="0" applyBorder="1" applyFont="1"/>
    <xf borderId="73" fillId="20" fontId="364" numFmtId="0" xfId="0" applyAlignment="1" applyBorder="1" applyFont="1">
      <alignment horizontal="center" vertical="bottom"/>
    </xf>
    <xf borderId="75" fillId="8" fontId="393" numFmtId="0" xfId="0" applyAlignment="1" applyBorder="1" applyFont="1">
      <alignment horizontal="center" readingOrder="0"/>
    </xf>
    <xf borderId="57" fillId="34" fontId="294" numFmtId="0" xfId="0" applyAlignment="1" applyBorder="1" applyFont="1">
      <alignment horizontal="left" readingOrder="0" vertical="center"/>
    </xf>
    <xf borderId="56" fillId="38" fontId="405" numFmtId="0" xfId="0" applyAlignment="1" applyBorder="1" applyFont="1">
      <alignment horizontal="center" readingOrder="0" vertical="center"/>
    </xf>
    <xf borderId="57" fillId="38" fontId="294" numFmtId="0" xfId="0" applyAlignment="1" applyBorder="1" applyFont="1">
      <alignment horizontal="left" readingOrder="0" vertical="center"/>
    </xf>
    <xf borderId="53" fillId="20" fontId="183" numFmtId="0" xfId="0" applyBorder="1" applyFont="1"/>
    <xf borderId="0" fillId="20" fontId="183" numFmtId="0" xfId="0" applyFont="1"/>
    <xf borderId="0" fillId="20" fontId="175" numFmtId="0" xfId="0" applyAlignment="1" applyFont="1">
      <alignment horizontal="left"/>
    </xf>
    <xf borderId="56" fillId="7" fontId="399" numFmtId="0" xfId="0" applyAlignment="1" applyBorder="1" applyFont="1">
      <alignment horizontal="center" readingOrder="0" vertical="center"/>
    </xf>
    <xf borderId="57" fillId="7" fontId="430" numFmtId="0" xfId="0" applyAlignment="1" applyBorder="1" applyFont="1">
      <alignment horizontal="left" readingOrder="0" vertical="center"/>
    </xf>
    <xf borderId="0" fillId="23" fontId="442" numFmtId="0" xfId="0" applyAlignment="1" applyFont="1">
      <alignment horizontal="left" readingOrder="0" vertical="center"/>
    </xf>
    <xf borderId="50" fillId="20" fontId="208" numFmtId="0" xfId="0" applyAlignment="1" applyBorder="1" applyFont="1">
      <alignment horizontal="center" vertical="center"/>
    </xf>
    <xf borderId="46" fillId="23" fontId="419" numFmtId="0" xfId="0" applyAlignment="1" applyBorder="1" applyFont="1">
      <alignment horizontal="left" readingOrder="0" vertical="center"/>
    </xf>
    <xf borderId="51" fillId="14" fontId="207" numFmtId="0" xfId="0" applyAlignment="1" applyBorder="1" applyFont="1">
      <alignment horizontal="right" vertical="bottom"/>
    </xf>
    <xf borderId="51" fillId="0" fontId="207" numFmtId="0" xfId="0" applyAlignment="1" applyBorder="1" applyFont="1">
      <alignment horizontal="right" vertical="bottom"/>
    </xf>
    <xf borderId="70" fillId="0" fontId="207" numFmtId="9" xfId="0" applyAlignment="1" applyBorder="1" applyFont="1" applyNumberFormat="1">
      <alignment horizontal="right" vertical="bottom"/>
    </xf>
    <xf borderId="71" fillId="20" fontId="201" numFmtId="0" xfId="0" applyAlignment="1" applyBorder="1" applyFont="1">
      <alignment horizontal="center" readingOrder="0"/>
    </xf>
    <xf borderId="63" fillId="7" fontId="402" numFmtId="0" xfId="0" applyAlignment="1" applyBorder="1" applyFont="1">
      <alignment readingOrder="0" vertical="center"/>
    </xf>
    <xf borderId="75" fillId="38" fontId="406" numFmtId="0" xfId="0" applyAlignment="1" applyBorder="1" applyFont="1">
      <alignment readingOrder="0"/>
    </xf>
    <xf borderId="50" fillId="38" fontId="407" numFmtId="0" xfId="0" applyAlignment="1" applyBorder="1" applyFont="1">
      <alignment readingOrder="0" vertical="center"/>
    </xf>
    <xf borderId="63" fillId="38" fontId="407" numFmtId="0" xfId="0" applyAlignment="1" applyBorder="1" applyFont="1">
      <alignment readingOrder="0"/>
    </xf>
    <xf borderId="75" fillId="40" fontId="443" numFmtId="0" xfId="0" applyAlignment="1" applyBorder="1" applyFont="1">
      <alignment horizontal="left" readingOrder="0" vertical="center"/>
    </xf>
    <xf borderId="63" fillId="40" fontId="409" numFmtId="0" xfId="0" applyAlignment="1" applyBorder="1" applyFont="1">
      <alignment horizontal="left" readingOrder="0" vertical="center"/>
    </xf>
    <xf borderId="16" fillId="8" fontId="444" numFmtId="0" xfId="0" applyAlignment="1" applyBorder="1" applyFont="1">
      <alignment horizontal="center" vertical="center"/>
    </xf>
    <xf borderId="18" fillId="8" fontId="398" numFmtId="0" xfId="0" applyAlignment="1" applyBorder="1" applyFont="1">
      <alignment horizontal="center" readingOrder="0" vertical="center"/>
    </xf>
    <xf borderId="35" fillId="20" fontId="445" numFmtId="0" xfId="0" applyAlignment="1" applyBorder="1" applyFont="1">
      <alignment horizontal="center" readingOrder="0"/>
    </xf>
    <xf borderId="25" fillId="20" fontId="446" numFmtId="0" xfId="0" applyAlignment="1" applyBorder="1" applyFont="1">
      <alignment horizontal="center" readingOrder="0"/>
    </xf>
    <xf borderId="250" fillId="20" fontId="201" numFmtId="0" xfId="0" applyAlignment="1" applyBorder="1" applyFont="1">
      <alignment horizontal="center" readingOrder="0"/>
    </xf>
    <xf borderId="47" fillId="8" fontId="393" numFmtId="0" xfId="0" applyAlignment="1" applyBorder="1" applyFont="1">
      <alignment horizontal="center" readingOrder="0"/>
    </xf>
    <xf borderId="0" fillId="34" fontId="405" numFmtId="0" xfId="0" applyAlignment="1" applyFont="1">
      <alignment horizontal="center" readingOrder="0" vertical="center"/>
    </xf>
    <xf borderId="31" fillId="34" fontId="294" numFmtId="0" xfId="0" applyAlignment="1" applyBorder="1" applyFont="1">
      <alignment horizontal="left" readingOrder="0" vertical="center"/>
    </xf>
    <xf borderId="0" fillId="0" fontId="392" numFmtId="0" xfId="0" applyAlignment="1" applyFont="1">
      <alignment horizontal="center" readingOrder="0" vertical="center"/>
    </xf>
    <xf borderId="31" fillId="0" fontId="392" numFmtId="0" xfId="0" applyAlignment="1" applyBorder="1" applyFont="1">
      <alignment horizontal="center" readingOrder="0" vertical="center"/>
    </xf>
    <xf borderId="0" fillId="7" fontId="399" numFmtId="0" xfId="0" applyAlignment="1" applyFont="1">
      <alignment horizontal="center" readingOrder="0" vertical="center"/>
    </xf>
    <xf borderId="25" fillId="7" fontId="430" numFmtId="0" xfId="0" applyAlignment="1" applyBorder="1" applyFont="1">
      <alignment horizontal="left" readingOrder="0" vertical="center"/>
    </xf>
    <xf borderId="52" fillId="20" fontId="183" numFmtId="0" xfId="0" applyBorder="1" applyFont="1"/>
    <xf borderId="42" fillId="20" fontId="183" numFmtId="0" xfId="0" applyBorder="1" applyFont="1"/>
    <xf borderId="56" fillId="20" fontId="447" numFmtId="0" xfId="0" applyAlignment="1" applyBorder="1" applyFont="1">
      <alignment horizontal="center" vertical="center"/>
    </xf>
    <xf borderId="58" fillId="20" fontId="448" numFmtId="0" xfId="0" applyAlignment="1" applyBorder="1" applyFont="1">
      <alignment horizontal="center" vertical="center"/>
    </xf>
    <xf borderId="149" fillId="2" fontId="269" numFmtId="0" xfId="0" applyAlignment="1" applyBorder="1" applyFont="1">
      <alignment readingOrder="0" vertical="bottom"/>
    </xf>
    <xf borderId="0" fillId="8" fontId="393" numFmtId="0" xfId="0" applyAlignment="1" applyFont="1">
      <alignment horizontal="center" readingOrder="0" vertical="center"/>
    </xf>
    <xf borderId="79" fillId="38" fontId="405" numFmtId="0" xfId="0" applyAlignment="1" applyBorder="1" applyFont="1">
      <alignment horizontal="center" readingOrder="0" vertical="center"/>
    </xf>
    <xf borderId="19" fillId="38" fontId="294" numFmtId="0" xfId="0" applyAlignment="1" applyBorder="1" applyFont="1">
      <alignment horizontal="left" readingOrder="0" vertical="center"/>
    </xf>
    <xf borderId="53" fillId="40" fontId="431" numFmtId="0" xfId="0" applyAlignment="1" applyBorder="1" applyFont="1">
      <alignment horizontal="center" readingOrder="0" vertical="center"/>
    </xf>
    <xf borderId="31" fillId="40" fontId="206" numFmtId="0" xfId="0" applyAlignment="1" applyBorder="1" applyFont="1">
      <alignment horizontal="left" readingOrder="0" vertical="center"/>
    </xf>
    <xf borderId="53" fillId="23" fontId="436" numFmtId="0" xfId="0" applyAlignment="1" applyBorder="1" applyFont="1">
      <alignment horizontal="center" readingOrder="0" vertical="center"/>
    </xf>
    <xf borderId="31" fillId="23" fontId="419" numFmtId="0" xfId="0" applyAlignment="1" applyBorder="1" applyFont="1">
      <alignment horizontal="left" readingOrder="0" vertical="center"/>
    </xf>
    <xf borderId="16" fillId="20" fontId="183" numFmtId="0" xfId="0" applyBorder="1" applyFont="1"/>
    <xf borderId="27" fillId="20" fontId="183" numFmtId="0" xfId="0" applyBorder="1" applyFont="1"/>
    <xf borderId="17" fillId="20" fontId="340" numFmtId="0" xfId="0" applyAlignment="1" applyBorder="1" applyFont="1">
      <alignment readingOrder="0"/>
    </xf>
    <xf borderId="31" fillId="22" fontId="207" numFmtId="0" xfId="0" applyAlignment="1" applyBorder="1" applyFont="1">
      <alignment horizontal="right" vertical="bottom"/>
    </xf>
    <xf borderId="31" fillId="25" fontId="207" numFmtId="0" xfId="0" applyAlignment="1" applyBorder="1" applyFont="1">
      <alignment horizontal="right" vertical="bottom"/>
    </xf>
    <xf borderId="30" fillId="26" fontId="437" numFmtId="0" xfId="0" applyAlignment="1" applyBorder="1" applyFont="1">
      <alignment vertical="center"/>
    </xf>
    <xf borderId="31" fillId="26" fontId="207" numFmtId="0" xfId="0" applyAlignment="1" applyBorder="1" applyFont="1">
      <alignment horizontal="right" vertical="bottom"/>
    </xf>
    <xf borderId="30" fillId="4" fontId="449" numFmtId="0" xfId="0" applyAlignment="1" applyBorder="1" applyFont="1">
      <alignment vertical="center"/>
    </xf>
    <xf borderId="31" fillId="4" fontId="401" numFmtId="0" xfId="0" applyAlignment="1" applyBorder="1" applyFont="1">
      <alignment horizontal="right" vertical="bottom"/>
    </xf>
    <xf borderId="18" fillId="8" fontId="444" numFmtId="0" xfId="0" applyAlignment="1" applyBorder="1" applyFont="1">
      <alignment horizontal="left" readingOrder="0" vertical="center"/>
    </xf>
    <xf borderId="73" fillId="20" fontId="201" numFmtId="0" xfId="0" applyAlignment="1" applyBorder="1" applyFont="1">
      <alignment horizontal="center" readingOrder="0"/>
    </xf>
    <xf borderId="47" fillId="34" fontId="406" numFmtId="0" xfId="0" applyAlignment="1" applyBorder="1" applyFont="1">
      <alignment readingOrder="0"/>
    </xf>
    <xf borderId="47" fillId="34" fontId="407" numFmtId="0" xfId="0" applyAlignment="1" applyBorder="1" applyFont="1">
      <alignment readingOrder="0"/>
    </xf>
    <xf borderId="47" fillId="34" fontId="295" numFmtId="0" xfId="0" applyAlignment="1" applyBorder="1" applyFont="1">
      <alignment horizontal="left" readingOrder="0" vertical="center"/>
    </xf>
    <xf borderId="44" fillId="34" fontId="295" numFmtId="0" xfId="0" applyAlignment="1" applyBorder="1" applyFont="1">
      <alignment readingOrder="0" shrinkToFit="0" vertical="bottom" wrapText="0"/>
    </xf>
    <xf borderId="53" fillId="20" fontId="208" numFmtId="0" xfId="0" applyAlignment="1" applyBorder="1" applyFont="1">
      <alignment horizontal="center" readingOrder="0" vertical="center"/>
    </xf>
    <xf borderId="0" fillId="21" fontId="207" numFmtId="0" xfId="0" applyAlignment="1" applyFont="1">
      <alignment horizontal="center"/>
    </xf>
    <xf borderId="75" fillId="38" fontId="431" numFmtId="0" xfId="0" applyAlignment="1" applyBorder="1" applyFont="1">
      <alignment horizontal="center" readingOrder="0" vertical="center"/>
    </xf>
    <xf borderId="50" fillId="38" fontId="206" numFmtId="0" xfId="0" applyAlignment="1" applyBorder="1" applyFont="1">
      <alignment vertical="bottom"/>
    </xf>
    <xf borderId="50" fillId="38" fontId="409" numFmtId="0" xfId="0" applyAlignment="1" applyBorder="1" applyFont="1">
      <alignment vertical="bottom"/>
    </xf>
    <xf borderId="50" fillId="38" fontId="450" numFmtId="0" xfId="0" applyAlignment="1" applyBorder="1" applyFont="1">
      <alignment vertical="bottom"/>
    </xf>
    <xf borderId="50" fillId="38" fontId="409" numFmtId="0" xfId="0" applyBorder="1" applyFont="1"/>
    <xf borderId="47" fillId="38" fontId="218" numFmtId="0" xfId="0" applyAlignment="1" applyBorder="1" applyFont="1">
      <alignment readingOrder="0"/>
    </xf>
    <xf borderId="46" fillId="38" fontId="218" numFmtId="0" xfId="0" applyAlignment="1" applyBorder="1" applyFont="1">
      <alignment readingOrder="0"/>
    </xf>
    <xf borderId="75" fillId="51" fontId="431" numFmtId="0" xfId="0" applyAlignment="1" applyBorder="1" applyFont="1">
      <alignment horizontal="center" readingOrder="0" vertical="center"/>
    </xf>
    <xf borderId="53" fillId="51" fontId="450" numFmtId="0" xfId="0" applyAlignment="1" applyBorder="1" applyFont="1">
      <alignment vertical="bottom"/>
    </xf>
    <xf borderId="0" fillId="51" fontId="201" numFmtId="0" xfId="0" applyAlignment="1" applyFont="1">
      <alignment readingOrder="0" vertical="center"/>
    </xf>
    <xf borderId="53" fillId="51" fontId="409" numFmtId="0" xfId="0" applyAlignment="1" applyBorder="1" applyFont="1">
      <alignment readingOrder="0" shrinkToFit="0" vertical="bottom" wrapText="0"/>
    </xf>
    <xf borderId="188" fillId="51" fontId="409" numFmtId="0" xfId="0" applyAlignment="1" applyBorder="1" applyFont="1">
      <alignment shrinkToFit="0" vertical="bottom" wrapText="0"/>
    </xf>
    <xf borderId="59" fillId="35" fontId="451" numFmtId="0" xfId="0" applyAlignment="1" applyBorder="1" applyFont="1">
      <alignment horizontal="center" readingOrder="0" vertical="center"/>
    </xf>
    <xf borderId="75" fillId="35" fontId="452" numFmtId="0" xfId="0" applyAlignment="1" applyBorder="1" applyFont="1">
      <alignment readingOrder="0" vertical="bottom"/>
    </xf>
    <xf borderId="50" fillId="35" fontId="294" numFmtId="0" xfId="0" applyAlignment="1" applyBorder="1" applyFont="1">
      <alignment readingOrder="0" vertical="bottom"/>
    </xf>
    <xf borderId="45" fillId="20" fontId="208" numFmtId="0" xfId="0" applyAlignment="1" applyBorder="1" applyFont="1">
      <alignment horizontal="center" readingOrder="0" vertical="center"/>
    </xf>
    <xf borderId="46" fillId="20" fontId="208" numFmtId="0" xfId="0" applyAlignment="1" applyBorder="1" applyFont="1">
      <alignment horizontal="center" readingOrder="0" vertical="center"/>
    </xf>
    <xf borderId="57" fillId="20" fontId="183" numFmtId="0" xfId="0" applyAlignment="1" applyBorder="1" applyFont="1">
      <alignment horizontal="center" vertical="center"/>
    </xf>
    <xf borderId="44" fillId="20" fontId="453" numFmtId="0" xfId="0" applyAlignment="1" applyBorder="1" applyFont="1">
      <alignment horizontal="center" vertical="center"/>
    </xf>
    <xf borderId="45" fillId="20" fontId="454" numFmtId="0" xfId="0" applyAlignment="1" applyBorder="1" applyFont="1">
      <alignment horizontal="center" vertical="center"/>
    </xf>
    <xf borderId="46" fillId="20" fontId="455" numFmtId="0" xfId="0" applyAlignment="1" applyBorder="1" applyFont="1">
      <alignment horizontal="center" vertical="center"/>
    </xf>
    <xf borderId="47" fillId="7" fontId="400" numFmtId="0" xfId="0" applyAlignment="1" applyBorder="1" applyFont="1">
      <alignment readingOrder="0"/>
    </xf>
    <xf borderId="47" fillId="7" fontId="402" numFmtId="0" xfId="0" applyAlignment="1" applyBorder="1" applyFont="1">
      <alignment readingOrder="0"/>
    </xf>
    <xf borderId="75" fillId="31" fontId="405" numFmtId="0" xfId="0" applyAlignment="1" applyBorder="1" applyFont="1">
      <alignment horizontal="center" readingOrder="0" vertical="center"/>
    </xf>
    <xf borderId="75" fillId="31" fontId="294" numFmtId="0" xfId="0" applyAlignment="1" applyBorder="1" applyFont="1">
      <alignment readingOrder="0" vertical="center"/>
    </xf>
    <xf borderId="47" fillId="31" fontId="175" numFmtId="0" xfId="0" applyAlignment="1" applyBorder="1" applyFont="1">
      <alignment readingOrder="0"/>
    </xf>
    <xf borderId="75" fillId="36" fontId="429" numFmtId="0" xfId="0" applyAlignment="1" applyBorder="1" applyFont="1">
      <alignment horizontal="center" readingOrder="0" vertical="center"/>
    </xf>
    <xf borderId="47" fillId="36" fontId="201" numFmtId="0" xfId="0" applyAlignment="1" applyBorder="1" applyFont="1">
      <alignment readingOrder="0"/>
    </xf>
    <xf borderId="47" fillId="36" fontId="218" numFmtId="0" xfId="0" applyAlignment="1" applyBorder="1" applyFont="1">
      <alignment readingOrder="0"/>
    </xf>
    <xf borderId="75" fillId="37" fontId="456" numFmtId="0" xfId="0" applyAlignment="1" applyBorder="1" applyFont="1">
      <alignment horizontal="center" readingOrder="0" vertical="center"/>
    </xf>
    <xf borderId="76" fillId="37" fontId="219" numFmtId="0" xfId="0" applyAlignment="1" applyBorder="1" applyFont="1">
      <alignment readingOrder="0"/>
    </xf>
    <xf borderId="47" fillId="37" fontId="175" numFmtId="0" xfId="0" applyAlignment="1" applyBorder="1" applyFont="1">
      <alignment readingOrder="0"/>
    </xf>
    <xf borderId="46" fillId="37" fontId="175" numFmtId="0" xfId="0" applyAlignment="1" applyBorder="1" applyFont="1">
      <alignment readingOrder="0"/>
    </xf>
    <xf borderId="75" fillId="23" fontId="436" numFmtId="0" xfId="0" applyAlignment="1" applyBorder="1" applyFont="1">
      <alignment horizontal="center" readingOrder="0" vertical="center"/>
    </xf>
    <xf borderId="47" fillId="23" fontId="419" numFmtId="0" xfId="0" applyAlignment="1" applyBorder="1" applyFont="1">
      <alignment readingOrder="0"/>
    </xf>
    <xf borderId="46" fillId="23" fontId="457" numFmtId="0" xfId="0" applyAlignment="1" applyBorder="1" applyFont="1">
      <alignment readingOrder="0"/>
    </xf>
    <xf borderId="232" fillId="64" fontId="458" numFmtId="0" xfId="0" applyAlignment="1" applyBorder="1" applyFont="1">
      <alignment horizontal="center" readingOrder="0" vertical="center"/>
    </xf>
    <xf borderId="47" fillId="64" fontId="206" numFmtId="0" xfId="0" applyAlignment="1" applyBorder="1" applyFont="1">
      <alignment horizontal="left" readingOrder="0" vertical="center"/>
    </xf>
    <xf borderId="0" fillId="2" fontId="269" numFmtId="0" xfId="0" applyAlignment="1" applyFont="1">
      <alignment vertical="bottom"/>
    </xf>
    <xf borderId="0" fillId="34" fontId="294" numFmtId="0" xfId="0" applyAlignment="1" applyFont="1">
      <alignment horizontal="left" readingOrder="0" vertical="center"/>
    </xf>
    <xf borderId="0" fillId="38" fontId="431" numFmtId="0" xfId="0" applyAlignment="1" applyFont="1">
      <alignment horizontal="center" readingOrder="0" vertical="center"/>
    </xf>
    <xf borderId="0" fillId="38" fontId="206" numFmtId="0" xfId="0" applyAlignment="1" applyFont="1">
      <alignment horizontal="left" readingOrder="0" vertical="center"/>
    </xf>
    <xf borderId="0" fillId="51" fontId="431" numFmtId="0" xfId="0" applyAlignment="1" applyFont="1">
      <alignment horizontal="center" readingOrder="0" vertical="center"/>
    </xf>
    <xf borderId="0" fillId="51" fontId="206" numFmtId="0" xfId="0" applyAlignment="1" applyFont="1">
      <alignment horizontal="left" readingOrder="0" vertical="center"/>
    </xf>
    <xf borderId="0" fillId="35" fontId="405" numFmtId="0" xfId="0" applyAlignment="1" applyFont="1">
      <alignment horizontal="center" readingOrder="0" vertical="center"/>
    </xf>
    <xf borderId="0" fillId="35" fontId="452" numFmtId="0" xfId="0" applyAlignment="1" applyFont="1">
      <alignment horizontal="left" readingOrder="0" vertical="center"/>
    </xf>
    <xf borderId="73" fillId="35" fontId="294" numFmtId="0" xfId="0" applyAlignment="1" applyBorder="1" applyFont="1">
      <alignment horizontal="left" readingOrder="0" vertical="center"/>
    </xf>
    <xf borderId="73" fillId="20" fontId="183" numFmtId="0" xfId="0" applyAlignment="1" applyBorder="1" applyFont="1">
      <alignment horizontal="left"/>
    </xf>
    <xf borderId="55" fillId="20" fontId="459" numFmtId="0" xfId="0" applyAlignment="1" applyBorder="1" applyFont="1">
      <alignment horizontal="center" vertical="center"/>
    </xf>
    <xf borderId="39" fillId="2" fontId="269" numFmtId="0" xfId="0" applyAlignment="1" applyBorder="1" applyFont="1">
      <alignment vertical="bottom"/>
    </xf>
    <xf borderId="0" fillId="7" fontId="430" numFmtId="0" xfId="0" applyAlignment="1" applyFont="1">
      <alignment horizontal="left" readingOrder="0" vertical="center"/>
    </xf>
    <xf borderId="0" fillId="31" fontId="405" numFmtId="0" xfId="0" applyAlignment="1" applyFont="1">
      <alignment horizontal="center" readingOrder="0" vertical="center"/>
    </xf>
    <xf borderId="0" fillId="31" fontId="452" numFmtId="0" xfId="0" applyAlignment="1" applyFont="1">
      <alignment horizontal="left" readingOrder="0" vertical="center"/>
    </xf>
    <xf borderId="0" fillId="31" fontId="294" numFmtId="0" xfId="0" applyAlignment="1" applyFont="1">
      <alignment horizontal="left" readingOrder="0" vertical="center"/>
    </xf>
    <xf borderId="0" fillId="36" fontId="429" numFmtId="0" xfId="0" applyAlignment="1" applyFont="1">
      <alignment horizontal="center" readingOrder="0"/>
    </xf>
    <xf borderId="0" fillId="36" fontId="206" numFmtId="0" xfId="0" applyAlignment="1" applyFont="1">
      <alignment horizontal="left" readingOrder="0" vertical="center"/>
    </xf>
    <xf borderId="0" fillId="37" fontId="405" numFmtId="0" xfId="0" applyAlignment="1" applyFont="1">
      <alignment horizontal="center" readingOrder="0" vertical="center"/>
    </xf>
    <xf borderId="0" fillId="37" fontId="294" numFmtId="0" xfId="0" applyAlignment="1" applyFont="1">
      <alignment horizontal="left" readingOrder="0" vertical="center"/>
    </xf>
    <xf borderId="0" fillId="23" fontId="460" numFmtId="0" xfId="0" applyAlignment="1" applyFont="1">
      <alignment horizontal="center" readingOrder="0" vertical="center"/>
    </xf>
    <xf borderId="0" fillId="23" fontId="461" numFmtId="0" xfId="0" applyAlignment="1" applyFont="1">
      <alignment horizontal="left" readingOrder="0" vertical="center"/>
    </xf>
    <xf borderId="0" fillId="8" fontId="444" numFmtId="0" xfId="0" applyAlignment="1" applyFont="1">
      <alignment vertical="center"/>
    </xf>
    <xf borderId="0" fillId="38" fontId="393" numFmtId="0" xfId="0" applyAlignment="1" applyFont="1">
      <alignment horizontal="center" readingOrder="0" vertical="top"/>
    </xf>
    <xf borderId="0" fillId="20" fontId="201" numFmtId="0" xfId="0" applyAlignment="1" applyFont="1">
      <alignment horizontal="center" readingOrder="0"/>
    </xf>
    <xf borderId="47" fillId="38" fontId="431" numFmtId="0" xfId="0" applyAlignment="1" applyBorder="1" applyFont="1">
      <alignment horizontal="center" readingOrder="0" vertical="center"/>
    </xf>
    <xf borderId="47" fillId="38" fontId="201" numFmtId="0" xfId="0" applyAlignment="1" applyBorder="1" applyFont="1">
      <alignment readingOrder="0"/>
    </xf>
    <xf borderId="0" fillId="22" fontId="207" numFmtId="0" xfId="0" applyAlignment="1" applyFont="1">
      <alignment horizontal="center"/>
    </xf>
    <xf borderId="47" fillId="22" fontId="207" numFmtId="0" xfId="0" applyAlignment="1" applyBorder="1" applyFont="1">
      <alignment horizontal="center"/>
    </xf>
    <xf borderId="47" fillId="38" fontId="462" numFmtId="0" xfId="0" applyAlignment="1" applyBorder="1" applyFont="1">
      <alignment readingOrder="0"/>
    </xf>
    <xf borderId="0" fillId="4" fontId="284" numFmtId="0" xfId="0" applyAlignment="1" applyFont="1">
      <alignment horizontal="center" readingOrder="0"/>
    </xf>
    <xf borderId="53" fillId="4" fontId="401" numFmtId="0" xfId="0" applyAlignment="1" applyBorder="1" applyFont="1">
      <alignment horizontal="center"/>
    </xf>
    <xf borderId="47" fillId="38" fontId="409" numFmtId="0" xfId="0" applyAlignment="1" applyBorder="1" applyFont="1">
      <alignment horizontal="left" readingOrder="0" vertical="center"/>
    </xf>
    <xf borderId="47" fillId="51" fontId="431" numFmtId="0" xfId="0" applyAlignment="1" applyBorder="1" applyFont="1">
      <alignment horizontal="center" readingOrder="0" vertical="center"/>
    </xf>
    <xf borderId="188" fillId="51" fontId="206" numFmtId="0" xfId="0" applyAlignment="1" applyBorder="1" applyFont="1">
      <alignment readingOrder="0" shrinkToFit="0" vertical="bottom" wrapText="0"/>
    </xf>
    <xf borderId="53" fillId="51" fontId="409" numFmtId="0" xfId="0" applyAlignment="1" applyBorder="1" applyFont="1">
      <alignment vertical="bottom"/>
    </xf>
    <xf borderId="188" fillId="51" fontId="409" numFmtId="0" xfId="0" applyAlignment="1" applyBorder="1" applyFont="1">
      <alignment readingOrder="0" shrinkToFit="0" vertical="bottom" wrapText="0"/>
    </xf>
    <xf borderId="47" fillId="7" fontId="399" numFmtId="0" xfId="0" applyAlignment="1" applyBorder="1" applyFont="1">
      <alignment horizontal="center" readingOrder="0" vertical="center"/>
    </xf>
    <xf borderId="47" fillId="7" fontId="463" numFmtId="0" xfId="0" applyAlignment="1" applyBorder="1" applyFont="1">
      <alignment readingOrder="0"/>
    </xf>
    <xf borderId="47" fillId="7" fontId="441" numFmtId="0" xfId="0" applyAlignment="1" applyBorder="1" applyFont="1">
      <alignment readingOrder="0"/>
    </xf>
    <xf borderId="47" fillId="11" fontId="405" numFmtId="0" xfId="0" applyAlignment="1" applyBorder="1" applyFont="1">
      <alignment horizontal="center" readingOrder="0" vertical="center"/>
    </xf>
    <xf borderId="50" fillId="11" fontId="464" numFmtId="0" xfId="0" applyAlignment="1" applyBorder="1" applyFont="1">
      <alignment vertical="bottom"/>
    </xf>
    <xf borderId="50" fillId="11" fontId="437" numFmtId="0" xfId="0" applyAlignment="1" applyBorder="1" applyFont="1">
      <alignment readingOrder="0" shrinkToFit="0" vertical="bottom" wrapText="0"/>
    </xf>
    <xf borderId="50" fillId="11" fontId="437" numFmtId="0" xfId="0" applyAlignment="1" applyBorder="1" applyFont="1">
      <alignment shrinkToFit="0" vertical="bottom" wrapText="0"/>
    </xf>
    <xf borderId="50" fillId="11" fontId="464" numFmtId="0" xfId="0" applyAlignment="1" applyBorder="1" applyFont="1">
      <alignment shrinkToFit="0" wrapText="0"/>
    </xf>
    <xf borderId="50" fillId="11" fontId="437" numFmtId="0" xfId="0" applyBorder="1" applyFont="1"/>
    <xf borderId="47" fillId="11" fontId="425" numFmtId="0" xfId="0" applyAlignment="1" applyBorder="1" applyFont="1">
      <alignment readingOrder="0"/>
    </xf>
    <xf borderId="69" fillId="20" fontId="465" numFmtId="0" xfId="0" applyAlignment="1" applyBorder="1" applyFont="1">
      <alignment horizontal="center" vertical="center"/>
    </xf>
    <xf borderId="47" fillId="29" fontId="431" numFmtId="0" xfId="0" applyAlignment="1" applyBorder="1" applyFont="1">
      <alignment horizontal="center" readingOrder="0" vertical="center"/>
    </xf>
    <xf borderId="47" fillId="29" fontId="423" numFmtId="0" xfId="0" applyAlignment="1" applyBorder="1" applyFont="1">
      <alignment readingOrder="0"/>
    </xf>
    <xf borderId="47" fillId="29" fontId="201" numFmtId="0" xfId="0" applyAlignment="1" applyBorder="1" applyFont="1">
      <alignment readingOrder="0"/>
    </xf>
    <xf borderId="47" fillId="29" fontId="462" numFmtId="0" xfId="0" applyAlignment="1" applyBorder="1" applyFont="1">
      <alignment readingOrder="0"/>
    </xf>
    <xf borderId="47" fillId="29" fontId="218" numFmtId="0" xfId="0" applyAlignment="1" applyBorder="1" applyFont="1">
      <alignment readingOrder="0"/>
    </xf>
    <xf borderId="47" fillId="31" fontId="405" numFmtId="0" xfId="0" applyAlignment="1" applyBorder="1" applyFont="1">
      <alignment horizontal="center" readingOrder="0" vertical="center"/>
    </xf>
    <xf borderId="50" fillId="31" fontId="294" numFmtId="0" xfId="0" applyAlignment="1" applyBorder="1" applyFont="1">
      <alignment readingOrder="0" vertical="center"/>
    </xf>
    <xf borderId="47" fillId="31" fontId="466" numFmtId="0" xfId="0" applyAlignment="1" applyBorder="1" applyFont="1">
      <alignment readingOrder="0"/>
    </xf>
    <xf borderId="0" fillId="0" fontId="207" numFmtId="0" xfId="0" applyAlignment="1" applyFont="1">
      <alignment horizontal="center"/>
    </xf>
    <xf borderId="47" fillId="0" fontId="207" numFmtId="0" xfId="0" applyAlignment="1" applyBorder="1" applyFont="1">
      <alignment horizontal="center"/>
    </xf>
    <xf borderId="47" fillId="36" fontId="431" numFmtId="0" xfId="0" applyAlignment="1" applyBorder="1" applyFont="1">
      <alignment horizontal="center" readingOrder="0" vertical="center"/>
    </xf>
    <xf borderId="47" fillId="37" fontId="405" numFmtId="0" xfId="0" applyAlignment="1" applyBorder="1" applyFont="1">
      <alignment horizontal="center" readingOrder="0" vertical="center"/>
    </xf>
    <xf borderId="47" fillId="37" fontId="466" numFmtId="0" xfId="0" applyAlignment="1" applyBorder="1" applyFont="1">
      <alignment readingOrder="0"/>
    </xf>
    <xf borderId="47" fillId="37" fontId="219" numFmtId="0" xfId="0" applyAlignment="1" applyBorder="1" applyFont="1">
      <alignment readingOrder="0"/>
    </xf>
    <xf borderId="47" fillId="23" fontId="460" numFmtId="0" xfId="0" applyAlignment="1" applyBorder="1" applyFont="1">
      <alignment horizontal="center" readingOrder="0" vertical="center"/>
    </xf>
    <xf borderId="47" fillId="23" fontId="457" numFmtId="0" xfId="0" applyAlignment="1" applyBorder="1" applyFont="1">
      <alignment readingOrder="0"/>
    </xf>
    <xf borderId="47" fillId="64" fontId="431" numFmtId="0" xfId="0" applyAlignment="1" applyBorder="1" applyFont="1">
      <alignment horizontal="center" readingOrder="0" vertical="center"/>
    </xf>
    <xf borderId="47" fillId="33" fontId="467" numFmtId="0" xfId="0" applyAlignment="1" applyBorder="1" applyFont="1">
      <alignment horizontal="center" readingOrder="0" vertical="center"/>
    </xf>
    <xf borderId="47" fillId="33" fontId="468" numFmtId="0" xfId="0" applyAlignment="1" applyBorder="1" applyFont="1">
      <alignment horizontal="left" readingOrder="0" vertical="center"/>
    </xf>
    <xf borderId="47" fillId="33" fontId="469" numFmtId="0" xfId="0" applyAlignment="1" applyBorder="1" applyFont="1">
      <alignment horizontal="left" readingOrder="0" vertical="center"/>
    </xf>
    <xf borderId="73" fillId="4" fontId="284" numFmtId="0" xfId="0" applyAlignment="1" applyBorder="1" applyFont="1">
      <alignment horizontal="center" readingOrder="0"/>
    </xf>
    <xf borderId="47" fillId="20" fontId="470" numFmtId="0" xfId="0" applyAlignment="1" applyBorder="1" applyFont="1">
      <alignment horizontal="center" readingOrder="0"/>
    </xf>
    <xf borderId="268" fillId="20" fontId="201" numFmtId="0" xfId="0" applyAlignment="1" applyBorder="1" applyFont="1">
      <alignment horizontal="center" readingOrder="0"/>
    </xf>
    <xf borderId="211" fillId="0" fontId="183" numFmtId="0" xfId="0" applyAlignment="1" applyBorder="1" applyFont="1">
      <alignment horizontal="center" readingOrder="0" vertical="center"/>
    </xf>
    <xf borderId="129" fillId="0" fontId="183" numFmtId="0" xfId="0" applyAlignment="1" applyBorder="1" applyFont="1">
      <alignment horizontal="center" readingOrder="0" vertical="center"/>
    </xf>
    <xf borderId="269" fillId="0" fontId="183" numFmtId="0" xfId="0" applyAlignment="1" applyBorder="1" applyFont="1">
      <alignment horizontal="center" readingOrder="0" vertical="center"/>
    </xf>
    <xf borderId="53" fillId="0" fontId="392" numFmtId="0" xfId="0" applyAlignment="1" applyBorder="1" applyFont="1">
      <alignment horizontal="center" readingOrder="0" vertical="center"/>
    </xf>
    <xf borderId="211" fillId="0" fontId="392" numFmtId="0" xfId="0" applyAlignment="1" applyBorder="1" applyFont="1">
      <alignment horizontal="center" readingOrder="0" vertical="center"/>
    </xf>
    <xf borderId="47" fillId="0" fontId="183" numFmtId="0" xfId="0" applyAlignment="1" applyBorder="1" applyFont="1">
      <alignment horizontal="center" readingOrder="0" vertical="center"/>
    </xf>
    <xf borderId="0" fillId="0" fontId="183" numFmtId="0" xfId="0" applyAlignment="1" applyFont="1">
      <alignment horizontal="center" readingOrder="0" vertical="center"/>
    </xf>
    <xf borderId="50" fillId="0" fontId="183" numFmtId="0" xfId="0" applyAlignment="1" applyBorder="1" applyFont="1">
      <alignment horizontal="center" readingOrder="0" vertical="center"/>
    </xf>
    <xf borderId="0" fillId="7" fontId="399" numFmtId="0" xfId="0" applyAlignment="1" applyFont="1">
      <alignment horizontal="center" readingOrder="0" vertical="center"/>
    </xf>
    <xf borderId="0" fillId="11" fontId="405" numFmtId="0" xfId="0" applyAlignment="1" applyFont="1">
      <alignment horizontal="center" readingOrder="0" vertical="center"/>
    </xf>
    <xf borderId="0" fillId="11" fontId="294" numFmtId="0" xfId="0" applyAlignment="1" applyFont="1">
      <alignment horizontal="left" readingOrder="0" vertical="center"/>
    </xf>
    <xf borderId="27" fillId="20" fontId="471" numFmtId="0" xfId="0" applyAlignment="1" applyBorder="1" applyFont="1">
      <alignment horizontal="center" vertical="center"/>
    </xf>
    <xf borderId="16" fillId="20" fontId="472" numFmtId="0" xfId="0" applyAlignment="1" applyBorder="1" applyFont="1">
      <alignment horizontal="center" vertical="center"/>
    </xf>
    <xf borderId="249" fillId="20" fontId="473" numFmtId="0" xfId="0" applyAlignment="1" applyBorder="1" applyFont="1">
      <alignment horizontal="center" vertical="center"/>
    </xf>
    <xf borderId="52" fillId="20" fontId="474" numFmtId="0" xfId="0" applyAlignment="1" applyBorder="1" applyFont="1">
      <alignment horizontal="center" vertical="center"/>
    </xf>
    <xf borderId="27" fillId="20" fontId="475" numFmtId="0" xfId="0" applyAlignment="1" applyBorder="1" applyFont="1">
      <alignment horizontal="center" vertical="center"/>
    </xf>
    <xf borderId="0" fillId="29" fontId="431" numFmtId="0" xfId="0" applyAlignment="1" applyFont="1">
      <alignment horizontal="center" readingOrder="0" vertical="center"/>
    </xf>
    <xf borderId="0" fillId="29" fontId="206" numFmtId="0" xfId="0" applyAlignment="1" applyFont="1">
      <alignment readingOrder="0" vertical="center"/>
    </xf>
    <xf borderId="47" fillId="4" fontId="183" numFmtId="0" xfId="0" applyAlignment="1" applyBorder="1" applyFont="1">
      <alignment horizontal="center" readingOrder="0" vertical="center"/>
    </xf>
    <xf borderId="47" fillId="24" fontId="392" numFmtId="0" xfId="0" applyAlignment="1" applyBorder="1" applyFont="1">
      <alignment horizontal="center" readingOrder="0" vertical="center"/>
    </xf>
    <xf borderId="0" fillId="31" fontId="294" numFmtId="0" xfId="0" applyAlignment="1" applyFont="1">
      <alignment readingOrder="0" vertical="center"/>
    </xf>
    <xf borderId="47" fillId="4" fontId="392" numFmtId="0" xfId="0" applyAlignment="1" applyBorder="1" applyFont="1">
      <alignment horizontal="center" readingOrder="0" vertical="center"/>
    </xf>
    <xf borderId="0" fillId="33" fontId="467" numFmtId="0" xfId="0" applyAlignment="1" applyFont="1">
      <alignment horizontal="center" readingOrder="0" vertical="center"/>
    </xf>
    <xf borderId="0" fillId="33" fontId="476" numFmtId="0" xfId="0" applyAlignment="1" applyFont="1">
      <alignment horizontal="left" readingOrder="0" vertical="center"/>
    </xf>
    <xf borderId="0" fillId="35" fontId="425" numFmtId="0" xfId="0" applyAlignment="1" applyFont="1">
      <alignment horizontal="left" readingOrder="0" vertical="center"/>
    </xf>
    <xf borderId="50" fillId="0" fontId="207" numFmtId="0" xfId="0" applyAlignment="1" applyBorder="1" applyFont="1">
      <alignment horizontal="center" readingOrder="0" vertical="center"/>
    </xf>
    <xf borderId="60" fillId="0" fontId="392" numFmtId="0" xfId="0" applyAlignment="1" applyBorder="1" applyFont="1">
      <alignment horizontal="center" readingOrder="0" vertical="center"/>
    </xf>
    <xf borderId="73" fillId="0" fontId="392" numFmtId="0" xfId="0" applyAlignment="1" applyBorder="1" applyFont="1">
      <alignment horizontal="center" readingOrder="0" vertical="center"/>
    </xf>
    <xf borderId="73" fillId="20" fontId="477" numFmtId="0" xfId="0" applyAlignment="1" applyBorder="1" applyFont="1">
      <alignment readingOrder="0"/>
    </xf>
    <xf borderId="16" fillId="20" fontId="477" numFmtId="0" xfId="0" applyAlignment="1" applyBorder="1" applyFont="1">
      <alignment readingOrder="0"/>
    </xf>
    <xf borderId="73" fillId="20" fontId="340" numFmtId="0" xfId="0" applyAlignment="1" applyBorder="1" applyFont="1">
      <alignment readingOrder="0"/>
    </xf>
  </cellXfs>
  <cellStyles count="1">
    <cellStyle xfId="0" name="Normal" builtinId="0"/>
  </cellStyles>
  <dxfs count="37">
    <dxf>
      <font>
        <b/>
      </font>
      <fill>
        <patternFill patternType="solid">
          <fgColor rgb="FFB7E1CD"/>
          <bgColor rgb="FFB7E1CD"/>
        </patternFill>
      </fill>
      <border/>
    </dxf>
    <dxf>
      <font>
        <b/>
      </font>
      <fill>
        <patternFill patternType="solid">
          <fgColor rgb="FFF4C7C3"/>
          <bgColor rgb="FFF4C7C3"/>
        </patternFill>
      </fill>
      <border/>
    </dxf>
    <dxf>
      <font>
        <b/>
      </font>
      <fill>
        <patternFill patternType="solid">
          <fgColor rgb="FFFFF2CC"/>
          <bgColor rgb="FFFFF2CC"/>
        </patternFill>
      </fill>
      <border/>
    </dxf>
    <dxf>
      <font>
        <b/>
        <color rgb="FF000000"/>
      </font>
      <fill>
        <patternFill patternType="solid">
          <fgColor rgb="FFF4C7C3"/>
          <bgColor rgb="FFF4C7C3"/>
        </patternFill>
      </fill>
      <border/>
    </dxf>
    <dxf>
      <font>
        <b/>
        <color rgb="FF000000"/>
      </font>
      <fill>
        <patternFill patternType="solid">
          <fgColor rgb="FFD9EAD3"/>
          <bgColor rgb="FFD9EAD3"/>
        </patternFill>
      </fill>
      <border/>
    </dxf>
    <dxf>
      <font>
        <b/>
        <color rgb="FFC53929"/>
      </font>
      <fill>
        <patternFill patternType="solid">
          <fgColor rgb="FFFFFFFF"/>
          <bgColor rgb="FFFFFFFF"/>
        </patternFill>
      </fill>
      <border/>
    </dxf>
    <dxf>
      <font>
        <b/>
        <color rgb="FFFFFFFF"/>
      </font>
      <fill>
        <patternFill patternType="solid">
          <fgColor rgb="FF666666"/>
          <bgColor rgb="FF666666"/>
        </patternFill>
      </fill>
      <border/>
    </dxf>
    <dxf>
      <font>
        <b/>
        <color rgb="FF000000"/>
      </font>
      <fill>
        <patternFill patternType="solid">
          <fgColor rgb="FFF4CCCC"/>
          <bgColor rgb="FFF4CCCC"/>
        </patternFill>
      </fill>
      <border/>
    </dxf>
    <dxf>
      <font>
        <b/>
        <color rgb="FF000000"/>
      </font>
      <fill>
        <patternFill patternType="solid">
          <fgColor rgb="FFF6B26B"/>
          <bgColor rgb="FFF6B26B"/>
        </patternFill>
      </fill>
      <border/>
    </dxf>
    <dxf>
      <font/>
      <fill>
        <patternFill patternType="solid">
          <fgColor rgb="FFE06666"/>
          <bgColor rgb="FFE06666"/>
        </patternFill>
      </fill>
      <border/>
    </dxf>
    <dxf>
      <font>
        <b/>
        <color rgb="FF000000"/>
      </font>
      <fill>
        <patternFill patternType="solid">
          <fgColor rgb="FF93C47D"/>
          <bgColor rgb="FF93C47D"/>
        </patternFill>
      </fill>
      <border/>
    </dxf>
    <dxf>
      <font>
        <b/>
        <color rgb="FF000000"/>
      </font>
      <fill>
        <patternFill patternType="solid">
          <fgColor rgb="FFE06666"/>
          <bgColor rgb="FFE06666"/>
        </patternFill>
      </fill>
      <border/>
    </dxf>
    <dxf>
      <font/>
      <fill>
        <patternFill patternType="solid">
          <fgColor rgb="FF93C47D"/>
          <bgColor rgb="FF93C47D"/>
        </patternFill>
      </fill>
      <border/>
    </dxf>
    <dxf>
      <font>
        <b/>
      </font>
      <fill>
        <patternFill patternType="solid">
          <fgColor rgb="FFE06666"/>
          <bgColor rgb="FFE06666"/>
        </patternFill>
      </fill>
      <border/>
    </dxf>
    <dxf>
      <font>
        <color rgb="FF000000"/>
      </font>
      <fill>
        <patternFill patternType="solid">
          <fgColor rgb="FFF6B26B"/>
          <bgColor rgb="FFF6B26B"/>
        </patternFill>
      </fill>
      <border/>
    </dxf>
    <dxf>
      <font/>
      <fill>
        <patternFill patternType="none"/>
      </fill>
      <border/>
    </dxf>
    <dxf>
      <font/>
      <fill>
        <patternFill patternType="solid">
          <fgColor rgb="FFF3F3F3"/>
          <bgColor rgb="FFF3F3F3"/>
        </patternFill>
      </fill>
      <border/>
    </dxf>
    <dxf>
      <font/>
      <fill>
        <patternFill patternType="solid">
          <fgColor rgb="FFFFFFFF"/>
          <bgColor rgb="FFFFFFFF"/>
        </patternFill>
      </fill>
      <border/>
    </dxf>
    <dxf>
      <font/>
      <fill>
        <patternFill patternType="solid">
          <fgColor rgb="FFEFEFEF"/>
          <bgColor rgb="FFEFEFEF"/>
        </patternFill>
      </fill>
      <border/>
    </dxf>
    <dxf>
      <font>
        <color rgb="FFFFFFFF"/>
      </font>
      <fill>
        <patternFill patternType="solid">
          <fgColor rgb="FF00AF3F"/>
          <bgColor rgb="FF00AF3F"/>
        </patternFill>
      </fill>
      <border/>
    </dxf>
    <dxf>
      <font>
        <color rgb="FFFFFFFF"/>
      </font>
      <fill>
        <patternFill patternType="solid">
          <fgColor rgb="FFFF0000"/>
          <bgColor rgb="FFFF0000"/>
        </patternFill>
      </fill>
      <border/>
    </dxf>
    <dxf>
      <font>
        <color rgb="FFFFFFFF"/>
      </font>
      <fill>
        <patternFill patternType="solid">
          <fgColor rgb="FFCC0000"/>
          <bgColor rgb="FFCC0000"/>
        </patternFill>
      </fill>
      <border/>
    </dxf>
    <dxf>
      <font>
        <color rgb="FFFFFFFF"/>
      </font>
      <fill>
        <patternFill patternType="solid">
          <fgColor rgb="FF153460"/>
          <bgColor rgb="FF153460"/>
        </patternFill>
      </fill>
      <border/>
    </dxf>
    <dxf>
      <font/>
      <fill>
        <patternFill patternType="solid">
          <fgColor rgb="FFFD8C24"/>
          <bgColor rgb="FFFD8C24"/>
        </patternFill>
      </fill>
      <border/>
    </dxf>
    <dxf>
      <font>
        <color rgb="FF980000"/>
      </font>
      <fill>
        <patternFill patternType="solid">
          <fgColor rgb="FF82BC00"/>
          <bgColor rgb="FF82BC00"/>
        </patternFill>
      </fill>
      <border/>
    </dxf>
    <dxf>
      <font>
        <color rgb="FFFFFFFF"/>
      </font>
      <fill>
        <patternFill patternType="solid">
          <fgColor rgb="FF732A86"/>
          <bgColor rgb="FF732A86"/>
        </patternFill>
      </fill>
      <border/>
    </dxf>
    <dxf>
      <font>
        <color rgb="FFFFFFFF"/>
      </font>
      <fill>
        <patternFill patternType="solid">
          <fgColor rgb="FF38761D"/>
          <bgColor rgb="FF38761D"/>
        </patternFill>
      </fill>
      <border/>
    </dxf>
    <dxf>
      <font/>
      <fill>
        <patternFill patternType="solid">
          <fgColor rgb="FFFCE8B2"/>
          <bgColor rgb="FFFCE8B2"/>
        </patternFill>
      </fill>
      <border/>
    </dxf>
    <dxf>
      <font>
        <color rgb="FFF3F3F3"/>
      </font>
      <fill>
        <patternFill patternType="solid">
          <fgColor rgb="FFF3F3F3"/>
          <bgColor rgb="FFF3F3F3"/>
        </patternFill>
      </fill>
      <border/>
    </dxf>
    <dxf>
      <font/>
      <fill>
        <patternFill patternType="solid">
          <fgColor rgb="FFB7E1CD"/>
          <bgColor rgb="FFB7E1CD"/>
        </patternFill>
      </fill>
      <border/>
    </dxf>
    <dxf>
      <font/>
      <fill>
        <patternFill patternType="solid">
          <fgColor rgb="FFF4C7C3"/>
          <bgColor rgb="FFF4C7C3"/>
        </patternFill>
      </fill>
      <border/>
    </dxf>
    <dxf>
      <font>
        <color rgb="FF666666"/>
      </font>
      <fill>
        <patternFill patternType="solid">
          <fgColor rgb="FF666666"/>
          <bgColor rgb="FF666666"/>
        </patternFill>
      </fill>
      <border/>
    </dxf>
    <dxf>
      <font>
        <color rgb="FFC53929"/>
      </font>
      <fill>
        <patternFill patternType="none"/>
      </fill>
      <border/>
    </dxf>
    <dxf>
      <font>
        <b/>
      </font>
      <fill>
        <patternFill patternType="solid">
          <fgColor rgb="FFFCE8B2"/>
          <bgColor rgb="FFFCE8B2"/>
        </patternFill>
      </fill>
      <border/>
    </dxf>
    <dxf>
      <font>
        <b/>
        <color rgb="FFC53929"/>
      </font>
      <fill>
        <patternFill patternType="none"/>
      </fill>
      <border/>
    </dxf>
    <dxf>
      <font/>
      <fill>
        <patternFill patternType="solid">
          <fgColor rgb="FFD9D9D9"/>
          <bgColor rgb="FFD9D9D9"/>
        </patternFill>
      </fill>
      <border/>
    </dxf>
    <dxf>
      <font>
        <b/>
      </font>
      <fill>
        <patternFill patternType="solid">
          <fgColor rgb="FFD9EAD3"/>
          <bgColor rgb="FFD9EAD3"/>
        </patternFill>
      </fill>
      <border/>
    </dxf>
  </dxfs>
  <tableStyles count="31">
    <tableStyle count="3" pivot="0" name="Moties-style">
      <tableStyleElement dxfId="16" type="headerRow"/>
      <tableStyleElement dxfId="17" type="firstRowStripe"/>
      <tableStyleElement dxfId="16" type="secondRowStripe"/>
    </tableStyle>
    <tableStyle count="2" pivot="0" name="Moties-style 2">
      <tableStyleElement dxfId="17" type="firstRowStripe"/>
      <tableStyleElement dxfId="18" type="secondRowStripe"/>
    </tableStyle>
    <tableStyle count="3" pivot="0" name="Moties-style 3">
      <tableStyleElement dxfId="16" type="headerRow"/>
      <tableStyleElement dxfId="17" type="firstRowStripe"/>
      <tableStyleElement dxfId="16" type="secondRowStripe"/>
    </tableStyle>
    <tableStyle count="2" pivot="0" name="Moties-style 4">
      <tableStyleElement dxfId="17" type="firstRowStripe"/>
      <tableStyleElement dxfId="16" type="secondRowStripe"/>
    </tableStyle>
    <tableStyle count="3" pivot="0" name="Moties-style 5">
      <tableStyleElement dxfId="16" type="headerRow"/>
      <tableStyleElement dxfId="17" type="firstRowStripe"/>
      <tableStyleElement dxfId="16" type="secondRowStripe"/>
    </tableStyle>
    <tableStyle count="2" pivot="0" name="Moties-style 6">
      <tableStyleElement dxfId="17" type="firstRowStripe"/>
      <tableStyleElement dxfId="16" type="secondRowStripe"/>
    </tableStyle>
    <tableStyle count="2" pivot="0" name="Moties-style 7">
      <tableStyleElement dxfId="17" type="firstRowStripe"/>
      <tableStyleElement dxfId="16" type="secondRowStripe"/>
    </tableStyle>
    <tableStyle count="2" pivot="0" name="Moties-style 8">
      <tableStyleElement dxfId="17" type="firstRowStripe"/>
      <tableStyleElement dxfId="16" type="secondRowStripe"/>
    </tableStyle>
    <tableStyle count="2" pivot="0" name="Moties-style 9">
      <tableStyleElement dxfId="17" type="firstRowStripe"/>
      <tableStyleElement dxfId="16" type="secondRowStripe"/>
    </tableStyle>
    <tableStyle count="2" pivot="0" name="Moties-style 10">
      <tableStyleElement dxfId="17" type="firstRowStripe"/>
      <tableStyleElement dxfId="16" type="secondRowStripe"/>
    </tableStyle>
    <tableStyle count="3" pivot="0" name="Moties-style 11">
      <tableStyleElement dxfId="16" type="headerRow"/>
      <tableStyleElement dxfId="17" type="firstRowStripe"/>
      <tableStyleElement dxfId="16" type="secondRowStripe"/>
    </tableStyle>
    <tableStyle count="3" pivot="0" name="Moties-style 12">
      <tableStyleElement dxfId="18" type="headerRow"/>
      <tableStyleElement dxfId="17" type="firstRowStripe"/>
      <tableStyleElement dxfId="16" type="secondRowStripe"/>
    </tableStyle>
    <tableStyle count="2" pivot="0" name="Moties-style 13">
      <tableStyleElement dxfId="17" type="firstRowStripe"/>
      <tableStyleElement dxfId="16" type="secondRowStripe"/>
    </tableStyle>
    <tableStyle count="2" pivot="0" name="Moties-style 14">
      <tableStyleElement dxfId="17" type="firstRowStripe"/>
      <tableStyleElement dxfId="18" type="secondRowStripe"/>
    </tableStyle>
    <tableStyle count="3" pivot="0" name="Moties-style 15">
      <tableStyleElement dxfId="16" type="headerRow"/>
      <tableStyleElement dxfId="17" type="firstRowStripe"/>
      <tableStyleElement dxfId="16" type="secondRowStripe"/>
    </tableStyle>
    <tableStyle count="3" pivot="0" name="Moties-style 16">
      <tableStyleElement dxfId="18" type="headerRow"/>
      <tableStyleElement dxfId="17" type="firstRowStripe"/>
      <tableStyleElement dxfId="16" type="secondRowStripe"/>
    </tableStyle>
    <tableStyle count="3" pivot="0" name="Moties-style 17">
      <tableStyleElement dxfId="16" type="headerRow"/>
      <tableStyleElement dxfId="17" type="firstRowStripe"/>
      <tableStyleElement dxfId="16" type="secondRowStripe"/>
    </tableStyle>
    <tableStyle count="2" pivot="0" name="Moties-style 18">
      <tableStyleElement dxfId="17" type="firstRowStripe"/>
      <tableStyleElement dxfId="16" type="secondRowStripe"/>
    </tableStyle>
    <tableStyle count="3" pivot="0" name="Wetten &amp; Amendementen-style">
      <tableStyleElement dxfId="18" type="headerRow"/>
      <tableStyleElement dxfId="17" type="firstRowStripe"/>
      <tableStyleElement dxfId="16" type="secondRowStripe"/>
    </tableStyle>
    <tableStyle count="3" pivot="0" name="Wetten &amp; Amendementen-style 2">
      <tableStyleElement dxfId="17" type="headerRow"/>
      <tableStyleElement dxfId="16" type="firstRowStripe"/>
      <tableStyleElement dxfId="17" type="secondRowStripe"/>
    </tableStyle>
    <tableStyle count="3" pivot="0" name="Wetten &amp; Amendementen-style 3">
      <tableStyleElement dxfId="18" type="headerRow"/>
      <tableStyleElement dxfId="17" type="firstRowStripe"/>
      <tableStyleElement dxfId="16" type="secondRowStripe"/>
    </tableStyle>
    <tableStyle count="2" pivot="0" name="Wetten &amp; Amendementen-style 4">
      <tableStyleElement dxfId="17" type="firstRowStripe"/>
      <tableStyleElement dxfId="16" type="secondRowStripe"/>
    </tableStyle>
    <tableStyle count="3" pivot="0" name="Wetten &amp; Amendementen-style 5">
      <tableStyleElement dxfId="18" type="headerRow"/>
      <tableStyleElement dxfId="17" type="firstRowStripe"/>
      <tableStyleElement dxfId="16" type="secondRowStripe"/>
    </tableStyle>
    <tableStyle count="2" pivot="0" name="Wetten &amp; Amendementen-style 6">
      <tableStyleElement dxfId="17" type="firstRowStripe"/>
      <tableStyleElement dxfId="16" type="secondRowStripe"/>
    </tableStyle>
    <tableStyle count="2" pivot="0" name="Wetten &amp; Amendementen-style 7">
      <tableStyleElement dxfId="17" type="firstRowStripe"/>
      <tableStyleElement dxfId="16" type="secondRowStripe"/>
    </tableStyle>
    <tableStyle count="2" pivot="0" name="Wetten &amp; Amendementen-style 8">
      <tableStyleElement dxfId="17" type="firstRowStripe"/>
      <tableStyleElement dxfId="16" type="secondRowStripe"/>
    </tableStyle>
    <tableStyle count="3" pivot="0" name="Wetten &amp; Amendementen-style 9">
      <tableStyleElement dxfId="17" type="headerRow"/>
      <tableStyleElement dxfId="16" type="firstRowStripe"/>
      <tableStyleElement dxfId="17" type="secondRowStripe"/>
    </tableStyle>
    <tableStyle count="2" pivot="0" name="Wetten &amp; Amendementen-style 10">
      <tableStyleElement dxfId="17" type="firstRowStripe"/>
      <tableStyleElement dxfId="16" type="secondRowStripe"/>
    </tableStyle>
    <tableStyle count="3" pivot="0" name="Wetten &amp; Amendementen-style 11">
      <tableStyleElement dxfId="18" type="headerRow"/>
      <tableStyleElement dxfId="17" type="firstRowStripe"/>
      <tableStyleElement dxfId="16" type="secondRowStripe"/>
    </tableStyle>
    <tableStyle count="2" pivot="0" name="Wetten &amp; Amendementen-style 12">
      <tableStyleElement dxfId="17" type="firstRowStripe"/>
      <tableStyleElement dxfId="16" type="secondRowStripe"/>
    </tableStyle>
    <tableStyle count="3" pivot="0" name="Verkiezingen Geschiedenis-style">
      <tableStyleElement dxfId="35" type="headerRow"/>
      <tableStyleElement dxfId="17" type="firstRowStripe"/>
      <tableStyleElement dxfId="35" type="secondRowStripe"/>
    </tableStyle>
  </tableStyles>
</styleSheet>
</file>

<file path=xl/_rels/workbook.xml.rels><?xml version="1.0" encoding="UTF-8" standalone="yes"?><Relationships xmlns="http://schemas.openxmlformats.org/package/2006/relationships"><Relationship Id="rId31" Type="http://schemas.openxmlformats.org/officeDocument/2006/relationships/worksheet" Target="worksheets/sheet28.xml"/><Relationship Id="rId30" Type="http://schemas.openxmlformats.org/officeDocument/2006/relationships/worksheet" Target="worksheets/sheet27.xml"/><Relationship Id="rId33" Type="http://schemas.openxmlformats.org/officeDocument/2006/relationships/worksheet" Target="worksheets/sheet30.xml"/><Relationship Id="rId32" Type="http://schemas.openxmlformats.org/officeDocument/2006/relationships/worksheet" Target="worksheets/sheet29.xml"/><Relationship Id="rId35" Type="http://schemas.openxmlformats.org/officeDocument/2006/relationships/worksheet" Target="worksheets/sheet32.xml"/><Relationship Id="rId34" Type="http://schemas.openxmlformats.org/officeDocument/2006/relationships/worksheet" Target="worksheets/sheet31.xml"/><Relationship Id="rId37" Type="http://schemas.openxmlformats.org/officeDocument/2006/relationships/worksheet" Target="worksheets/sheet34.xml"/><Relationship Id="rId36" Type="http://schemas.openxmlformats.org/officeDocument/2006/relationships/worksheet" Target="worksheets/sheet33.xml"/><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26" Type="http://schemas.openxmlformats.org/officeDocument/2006/relationships/worksheet" Target="worksheets/sheet23.xml"/><Relationship Id="rId25" Type="http://schemas.openxmlformats.org/officeDocument/2006/relationships/worksheet" Target="worksheets/sheet22.xml"/><Relationship Id="rId28" Type="http://schemas.openxmlformats.org/officeDocument/2006/relationships/worksheet" Target="worksheets/sheet25.xml"/><Relationship Id="rId27" Type="http://schemas.openxmlformats.org/officeDocument/2006/relationships/worksheet" Target="worksheets/sheet24.xml"/><Relationship Id="rId29" Type="http://schemas.openxmlformats.org/officeDocument/2006/relationships/worksheet" Target="worksheets/sheet26.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 Id="rId3" Type="http://schemas.openxmlformats.org/officeDocument/2006/relationships/image" Target="../media/image6.png"/><Relationship Id="rId4" Type="http://schemas.openxmlformats.org/officeDocument/2006/relationships/image" Target="../media/image3.png"/><Relationship Id="rId5" Type="http://schemas.openxmlformats.org/officeDocument/2006/relationships/image" Target="../media/image5.png"/><Relationship Id="rId6" Type="http://schemas.openxmlformats.org/officeDocument/2006/relationships/image" Target="../media/image7.png"/><Relationship Id="rId7" Type="http://schemas.openxmlformats.org/officeDocument/2006/relationships/image" Target="../media/image8.png"/><Relationship Id="rId8"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247650</xdr:colOff>
      <xdr:row>1</xdr:row>
      <xdr:rowOff>76200</xdr:rowOff>
    </xdr:from>
    <xdr:ext cx="1152525" cy="1152525"/>
    <xdr:pic>
      <xdr:nvPicPr>
        <xdr:cNvPr id="0" name="image1.png" title="Afbeelding"/>
        <xdr:cNvPicPr preferRelativeResize="0"/>
      </xdr:nvPicPr>
      <xdr:blipFill>
        <a:blip cstate="print" r:embed="rId1"/>
        <a:stretch>
          <a:fillRect/>
        </a:stretch>
      </xdr:blipFill>
      <xdr:spPr>
        <a:prstGeom prst="rect">
          <a:avLst/>
        </a:prstGeom>
        <a:noFill/>
      </xdr:spPr>
    </xdr:pic>
    <xdr:clientData fLocksWithSheet="0"/>
  </xdr:oneCellAnchor>
  <xdr:oneCellAnchor>
    <xdr:from>
      <xdr:col>19</xdr:col>
      <xdr:colOff>466725</xdr:colOff>
      <xdr:row>1</xdr:row>
      <xdr:rowOff>76200</xdr:rowOff>
    </xdr:from>
    <xdr:ext cx="1152525" cy="1152525"/>
    <xdr:pic>
      <xdr:nvPicPr>
        <xdr:cNvPr id="0" name="image1.png" title="Afbeeldi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276225</xdr:colOff>
      <xdr:row>15</xdr:row>
      <xdr:rowOff>9525</xdr:rowOff>
    </xdr:from>
    <xdr:ext cx="190500" cy="238125"/>
    <xdr:pic>
      <xdr:nvPicPr>
        <xdr:cNvPr id="0" name="image2.png" title="Afbeelding"/>
        <xdr:cNvPicPr preferRelativeResize="0"/>
      </xdr:nvPicPr>
      <xdr:blipFill>
        <a:blip cstate="print" r:embed="rId2"/>
        <a:stretch>
          <a:fillRect/>
        </a:stretch>
      </xdr:blipFill>
      <xdr:spPr>
        <a:prstGeom prst="rect">
          <a:avLst/>
        </a:prstGeom>
        <a:noFill/>
      </xdr:spPr>
    </xdr:pic>
    <xdr:clientData fLocksWithSheet="0"/>
  </xdr:oneCellAnchor>
  <xdr:oneCellAnchor>
    <xdr:from>
      <xdr:col>5</xdr:col>
      <xdr:colOff>0</xdr:colOff>
      <xdr:row>7</xdr:row>
      <xdr:rowOff>0</xdr:rowOff>
    </xdr:from>
    <xdr:ext cx="600075" cy="285750"/>
    <xdr:pic>
      <xdr:nvPicPr>
        <xdr:cNvPr id="0" name="image6.png"/>
        <xdr:cNvPicPr preferRelativeResize="0"/>
      </xdr:nvPicPr>
      <xdr:blipFill>
        <a:blip cstate="print" r:embed="rId3"/>
        <a:stretch>
          <a:fillRect/>
        </a:stretch>
      </xdr:blipFill>
      <xdr:spPr>
        <a:prstGeom prst="rect">
          <a:avLst/>
        </a:prstGeom>
        <a:noFill/>
      </xdr:spPr>
    </xdr:pic>
    <xdr:clientData fLocksWithSheet="0"/>
  </xdr:oneCellAnchor>
  <xdr:oneCellAnchor>
    <xdr:from>
      <xdr:col>5</xdr:col>
      <xdr:colOff>0</xdr:colOff>
      <xdr:row>9</xdr:row>
      <xdr:rowOff>0</xdr:rowOff>
    </xdr:from>
    <xdr:ext cx="285750" cy="285750"/>
    <xdr:pic>
      <xdr:nvPicPr>
        <xdr:cNvPr id="0" name="image3.png"/>
        <xdr:cNvPicPr preferRelativeResize="0"/>
      </xdr:nvPicPr>
      <xdr:blipFill>
        <a:blip cstate="print" r:embed="rId4"/>
        <a:stretch>
          <a:fillRect/>
        </a:stretch>
      </xdr:blipFill>
      <xdr:spPr>
        <a:prstGeom prst="rect">
          <a:avLst/>
        </a:prstGeom>
        <a:noFill/>
      </xdr:spPr>
    </xdr:pic>
    <xdr:clientData fLocksWithSheet="0"/>
  </xdr:oneCellAnchor>
  <xdr:oneCellAnchor>
    <xdr:from>
      <xdr:col>5</xdr:col>
      <xdr:colOff>0</xdr:colOff>
      <xdr:row>11</xdr:row>
      <xdr:rowOff>0</xdr:rowOff>
    </xdr:from>
    <xdr:ext cx="304800" cy="285750"/>
    <xdr:pic>
      <xdr:nvPicPr>
        <xdr:cNvPr id="0" name="image5.png"/>
        <xdr:cNvPicPr preferRelativeResize="0"/>
      </xdr:nvPicPr>
      <xdr:blipFill>
        <a:blip cstate="print" r:embed="rId5"/>
        <a:stretch>
          <a:fillRect/>
        </a:stretch>
      </xdr:blipFill>
      <xdr:spPr>
        <a:prstGeom prst="rect">
          <a:avLst/>
        </a:prstGeom>
        <a:noFill/>
      </xdr:spPr>
    </xdr:pic>
    <xdr:clientData fLocksWithSheet="0"/>
  </xdr:oneCellAnchor>
  <xdr:oneCellAnchor>
    <xdr:from>
      <xdr:col>5</xdr:col>
      <xdr:colOff>0</xdr:colOff>
      <xdr:row>13</xdr:row>
      <xdr:rowOff>0</xdr:rowOff>
    </xdr:from>
    <xdr:ext cx="171450" cy="285750"/>
    <xdr:pic>
      <xdr:nvPicPr>
        <xdr:cNvPr id="0" name="image7.png"/>
        <xdr:cNvPicPr preferRelativeResize="0"/>
      </xdr:nvPicPr>
      <xdr:blipFill>
        <a:blip cstate="print" r:embed="rId6"/>
        <a:stretch>
          <a:fillRect/>
        </a:stretch>
      </xdr:blipFill>
      <xdr:spPr>
        <a:prstGeom prst="rect">
          <a:avLst/>
        </a:prstGeom>
        <a:noFill/>
      </xdr:spPr>
    </xdr:pic>
    <xdr:clientData fLocksWithSheet="0"/>
  </xdr:oneCellAnchor>
  <xdr:oneCellAnchor>
    <xdr:from>
      <xdr:col>5</xdr:col>
      <xdr:colOff>0</xdr:colOff>
      <xdr:row>17</xdr:row>
      <xdr:rowOff>0</xdr:rowOff>
    </xdr:from>
    <xdr:ext cx="361950" cy="285750"/>
    <xdr:pic>
      <xdr:nvPicPr>
        <xdr:cNvPr id="0" name="image8.png"/>
        <xdr:cNvPicPr preferRelativeResize="0"/>
      </xdr:nvPicPr>
      <xdr:blipFill>
        <a:blip cstate="print" r:embed="rId7"/>
        <a:stretch>
          <a:fillRect/>
        </a:stretch>
      </xdr:blipFill>
      <xdr:spPr>
        <a:prstGeom prst="rect">
          <a:avLst/>
        </a:prstGeom>
        <a:noFill/>
      </xdr:spPr>
    </xdr:pic>
    <xdr:clientData fLocksWithSheet="0"/>
  </xdr:oneCellAnchor>
  <xdr:oneCellAnchor>
    <xdr:from>
      <xdr:col>5</xdr:col>
      <xdr:colOff>0</xdr:colOff>
      <xdr:row>19</xdr:row>
      <xdr:rowOff>0</xdr:rowOff>
    </xdr:from>
    <xdr:ext cx="257175" cy="266700"/>
    <xdr:pic>
      <xdr:nvPicPr>
        <xdr:cNvPr id="0" name="image4.png"/>
        <xdr:cNvPicPr preferRelativeResize="0"/>
      </xdr:nvPicPr>
      <xdr:blipFill>
        <a:blip cstate="print" r:embed="rId8"/>
        <a:stretch>
          <a:fillRect/>
        </a:stretch>
      </xdr:blipFill>
      <xdr:spPr>
        <a:prstGeom prst="rect">
          <a:avLst/>
        </a:prstGeom>
        <a:noFill/>
      </xdr:spPr>
    </xdr:pic>
    <xdr:clientData fLocksWithSheet="0"/>
  </xdr:oneCellAnchor>
</xdr:wsD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B46:B54" displayName="Table_1" id="1">
  <tableColumns count="1">
    <tableColumn name="M0042" id="1"/>
  </tableColumns>
  <tableStyleInfo name="Moties-style" showColumnStripes="0" showFirstColumn="1" showLastColumn="1" showRowStripes="1"/>
</table>
</file>

<file path=xl/tables/table10.xml><?xml version="1.0" encoding="utf-8"?>
<table xmlns="http://schemas.openxmlformats.org/spreadsheetml/2006/main" headerRowCount="0" ref="B158:B238" displayName="Table_10" id="10">
  <tableColumns count="1">
    <tableColumn name="Column1" id="1"/>
  </tableColumns>
  <tableStyleInfo name="Moties-style 10" showColumnStripes="0" showFirstColumn="1" showLastColumn="1" showRowStripes="1"/>
</table>
</file>

<file path=xl/tables/table11.xml><?xml version="1.0" encoding="utf-8"?>
<table xmlns="http://schemas.openxmlformats.org/spreadsheetml/2006/main" ref="B240:B250" displayName="Table_11" id="11">
  <tableColumns count="1">
    <tableColumn name="M0230" id="1"/>
  </tableColumns>
  <tableStyleInfo name="Moties-style 11" showColumnStripes="0" showFirstColumn="1" showLastColumn="1" showRowStripes="1"/>
</table>
</file>

<file path=xl/tables/table12.xml><?xml version="1.0" encoding="utf-8"?>
<table xmlns="http://schemas.openxmlformats.org/spreadsheetml/2006/main" ref="B121:B137" displayName="Table_12" id="12">
  <tableColumns count="1">
    <tableColumn name="M0114" id="1"/>
  </tableColumns>
  <tableStyleInfo name="Moties-style 12" showColumnStripes="0" showFirstColumn="1" showLastColumn="1" showRowStripes="1"/>
</table>
</file>

<file path=xl/tables/table13.xml><?xml version="1.0" encoding="utf-8"?>
<table xmlns="http://schemas.openxmlformats.org/spreadsheetml/2006/main" headerRowCount="0" ref="B139:B156" displayName="Table_13" id="13">
  <tableColumns count="1">
    <tableColumn name="Column1" id="1"/>
  </tableColumns>
  <tableStyleInfo name="Moties-style 13" showColumnStripes="0" showFirstColumn="1" showLastColumn="1" showRowStripes="1"/>
</table>
</file>

<file path=xl/tables/table14.xml><?xml version="1.0" encoding="utf-8"?>
<table xmlns="http://schemas.openxmlformats.org/spreadsheetml/2006/main" headerRowCount="0" ref="E3:E23" displayName="Table_14" id="14">
  <tableColumns count="1">
    <tableColumn name="Column1" id="1"/>
  </tableColumns>
  <tableStyleInfo name="Moties-style 14" showColumnStripes="0" showFirstColumn="1" showLastColumn="1" showRowStripes="1"/>
</table>
</file>

<file path=xl/tables/table15.xml><?xml version="1.0" encoding="utf-8"?>
<table xmlns="http://schemas.openxmlformats.org/spreadsheetml/2006/main" ref="E25:E44" displayName="Table_15" id="15">
  <tableColumns count="1">
    <tableColumn name="Motie om Juan Guairó te rekennen als president van Venezuela" id="1"/>
  </tableColumns>
  <tableStyleInfo name="Moties-style 15" showColumnStripes="0" showFirstColumn="1" showLastColumn="1" showRowStripes="1"/>
</table>
</file>

<file path=xl/tables/table16.xml><?xml version="1.0" encoding="utf-8"?>
<table xmlns="http://schemas.openxmlformats.org/spreadsheetml/2006/main" ref="E121:E137" displayName="Table_16" id="16">
  <tableColumns count="1">
    <tableColumn name="Motie omtrent het mogelijke Finse lidmaatschap van de NAVO" id="1"/>
  </tableColumns>
  <tableStyleInfo name="Moties-style 16" showColumnStripes="0" showFirstColumn="1" showLastColumn="1" showRowStripes="1"/>
</table>
</file>

<file path=xl/tables/table17.xml><?xml version="1.0" encoding="utf-8"?>
<table xmlns="http://schemas.openxmlformats.org/spreadsheetml/2006/main" ref="E46:E54" displayName="Table_17" id="17">
  <tableColumns count="1">
    <tableColumn name="Motie tot verwerping Artikel 11 en 13 op Europees niveau" id="1"/>
  </tableColumns>
  <tableStyleInfo name="Moties-style 17" showColumnStripes="0" showFirstColumn="1" showLastColumn="1" showRowStripes="1"/>
</table>
</file>

<file path=xl/tables/table18.xml><?xml version="1.0" encoding="utf-8"?>
<table xmlns="http://schemas.openxmlformats.org/spreadsheetml/2006/main" headerRowCount="0" ref="E139:E156" displayName="Table_18" id="18">
  <tableColumns count="1">
    <tableColumn name="Column1" id="1"/>
  </tableColumns>
  <tableStyleInfo name="Moties-style 18" showColumnStripes="0" showFirstColumn="1" showLastColumn="1" showRowStripes="1"/>
</table>
</file>

<file path=xl/tables/table19.xml><?xml version="1.0" encoding="utf-8"?>
<table xmlns="http://schemas.openxmlformats.org/spreadsheetml/2006/main" ref="B36:B50" displayName="Table_19" id="19">
  <tableColumns count="1">
    <tableColumn name="W0029" id="1"/>
  </tableColumns>
  <tableStyleInfo name="Wetten &amp; Amendementen-style" showColumnStripes="0" showFirstColumn="1" showLastColumn="1" showRowStripes="1"/>
</table>
</file>

<file path=xl/tables/table2.xml><?xml version="1.0" encoding="utf-8"?>
<table xmlns="http://schemas.openxmlformats.org/spreadsheetml/2006/main" headerRowCount="0" ref="B3:B23" displayName="Table_2" id="2">
  <tableColumns count="1">
    <tableColumn name="Column1" id="1"/>
  </tableColumns>
  <tableStyleInfo name="Moties-style 2" showColumnStripes="0" showFirstColumn="1" showLastColumn="1" showRowStripes="1"/>
</table>
</file>

<file path=xl/tables/table20.xml><?xml version="1.0" encoding="utf-8"?>
<table xmlns="http://schemas.openxmlformats.org/spreadsheetml/2006/main" ref="B86:B135" displayName="Table_20" id="20">
  <tableColumns count="1">
    <tableColumn name="W0075" id="1"/>
  </tableColumns>
  <tableStyleInfo name="Wetten &amp; Amendementen-style 2" showColumnStripes="0" showFirstColumn="1" showLastColumn="1" showRowStripes="1"/>
</table>
</file>

<file path=xl/tables/table21.xml><?xml version="1.0" encoding="utf-8"?>
<table xmlns="http://schemas.openxmlformats.org/spreadsheetml/2006/main" ref="B64:B84" displayName="Table_21" id="21">
  <tableColumns count="1">
    <tableColumn name="W0054" id="1"/>
  </tableColumns>
  <tableStyleInfo name="Wetten &amp; Amendementen-style 3" showColumnStripes="0" showFirstColumn="1" showLastColumn="1" showRowStripes="1"/>
</table>
</file>

<file path=xl/tables/table22.xml><?xml version="1.0" encoding="utf-8"?>
<table xmlns="http://schemas.openxmlformats.org/spreadsheetml/2006/main" headerRowCount="0" ref="B14:B19" displayName="Table_22" id="22">
  <tableColumns count="1">
    <tableColumn name="Column1" id="1"/>
  </tableColumns>
  <tableStyleInfo name="Wetten &amp; Amendementen-style 4" showColumnStripes="0" showFirstColumn="1" showLastColumn="1" showRowStripes="1"/>
</table>
</file>

<file path=xl/tables/table23.xml><?xml version="1.0" encoding="utf-8"?>
<table xmlns="http://schemas.openxmlformats.org/spreadsheetml/2006/main" ref="E36:E50" displayName="Table_23" id="23">
  <tableColumns count="1">
    <tableColumn name="Wijziging van het Burgerlijk Wetboek, Boek 1, artikel 5" id="1"/>
  </tableColumns>
  <tableStyleInfo name="Wetten &amp; Amendementen-style 5" showColumnStripes="0" showFirstColumn="1" showLastColumn="1" showRowStripes="1"/>
</table>
</file>

<file path=xl/tables/table24.xml><?xml version="1.0" encoding="utf-8"?>
<table xmlns="http://schemas.openxmlformats.org/spreadsheetml/2006/main" headerRowCount="0" ref="E26:E34" displayName="Table_24" id="24">
  <tableColumns count="1">
    <tableColumn name="Column1" id="1"/>
  </tableColumns>
  <tableStyleInfo name="Wetten &amp; Amendementen-style 6" showColumnStripes="0" showFirstColumn="1" showLastColumn="1" showRowStripes="1"/>
</table>
</file>

<file path=xl/tables/table25.xml><?xml version="1.0" encoding="utf-8"?>
<table xmlns="http://schemas.openxmlformats.org/spreadsheetml/2006/main" headerRowCount="0" ref="E21:E24" displayName="Table_25" id="25">
  <tableColumns count="1">
    <tableColumn name="Column1" id="1"/>
  </tableColumns>
  <tableStyleInfo name="Wetten &amp; Amendementen-style 7" showColumnStripes="0" showFirstColumn="1" showLastColumn="1" showRowStripes="1"/>
</table>
</file>

<file path=xl/tables/table26.xml><?xml version="1.0" encoding="utf-8"?>
<table xmlns="http://schemas.openxmlformats.org/spreadsheetml/2006/main" headerRowCount="0" ref="E14:E19" displayName="Table_26" id="26">
  <tableColumns count="1">
    <tableColumn name="Column1" id="1"/>
  </tableColumns>
  <tableStyleInfo name="Wetten &amp; Amendementen-style 8" showColumnStripes="0" showFirstColumn="1" showLastColumn="1" showRowStripes="1"/>
</table>
</file>

<file path=xl/tables/table27.xml><?xml version="1.0" encoding="utf-8"?>
<table xmlns="http://schemas.openxmlformats.org/spreadsheetml/2006/main" ref="E86:E135" displayName="Table_27" id="27">
  <tableColumns count="1">
    <tableColumn name="Vaststelling van de begrotingsstaat van het Deltafonds voor het jaar 2020" id="1"/>
  </tableColumns>
  <tableStyleInfo name="Wetten &amp; Amendementen-style 9" showColumnStripes="0" showFirstColumn="1" showLastColumn="1" showRowStripes="1"/>
</table>
</file>

<file path=xl/tables/table28.xml><?xml version="1.0" encoding="utf-8"?>
<table xmlns="http://schemas.openxmlformats.org/spreadsheetml/2006/main" headerRowCount="0" ref="B26:B34" displayName="Table_28" id="28">
  <tableColumns count="1">
    <tableColumn name="Column1" id="1"/>
  </tableColumns>
  <tableStyleInfo name="Wetten &amp; Amendementen-style 10" showColumnStripes="0" showFirstColumn="1" showLastColumn="1" showRowStripes="1"/>
</table>
</file>

<file path=xl/tables/table29.xml><?xml version="1.0" encoding="utf-8"?>
<table xmlns="http://schemas.openxmlformats.org/spreadsheetml/2006/main" ref="E64:E84" displayName="Table_29" id="29">
  <tableColumns count="1">
    <tableColumn name="Grondwetswijziging ter deconstitutionalisering van de benoeming van de commissaris van de Koning en de burgemeester" id="1"/>
  </tableColumns>
  <tableStyleInfo name="Wetten &amp; Amendementen-style 11" showColumnStripes="0" showFirstColumn="1" showLastColumn="1" showRowStripes="1"/>
</table>
</file>

<file path=xl/tables/table3.xml><?xml version="1.0" encoding="utf-8"?>
<table xmlns="http://schemas.openxmlformats.org/spreadsheetml/2006/main" ref="B25:B44" displayName="Table_3" id="3">
  <tableColumns count="1">
    <tableColumn name="M0022" id="1"/>
  </tableColumns>
  <tableStyleInfo name="Moties-style 3" showColumnStripes="0" showFirstColumn="1" showLastColumn="1" showRowStripes="1"/>
</table>
</file>

<file path=xl/tables/table30.xml><?xml version="1.0" encoding="utf-8"?>
<table xmlns="http://schemas.openxmlformats.org/spreadsheetml/2006/main" headerRowCount="0" ref="B21:B24" displayName="Table_30" id="30">
  <tableColumns count="1">
    <tableColumn name="Column1" id="1"/>
  </tableColumns>
  <tableStyleInfo name="Wetten &amp; Amendementen-style 12" showColumnStripes="0" showFirstColumn="1" showLastColumn="1" showRowStripes="1"/>
</table>
</file>

<file path=xl/tables/table31.xml><?xml version="1.0" encoding="utf-8"?>
<table xmlns="http://schemas.openxmlformats.org/spreadsheetml/2006/main" ref="E4:E9" displayName="Table_31" id="31">
  <tableColumns count="1">
    <tableColumn name="Link" id="1"/>
  </tableColumns>
  <tableStyleInfo name="Verkiezingen Geschiedenis-style" showColumnStripes="0" showFirstColumn="1" showLastColumn="1" showRowStripes="1"/>
</table>
</file>

<file path=xl/tables/table4.xml><?xml version="1.0" encoding="utf-8"?>
<table xmlns="http://schemas.openxmlformats.org/spreadsheetml/2006/main" headerRowCount="0" ref="E158:E238" displayName="Table_4" id="4">
  <tableColumns count="1">
    <tableColumn name="Column1" id="1"/>
  </tableColumns>
  <tableStyleInfo name="Moties-style 4" showColumnStripes="0" showFirstColumn="1" showLastColumn="1" showRowStripes="1"/>
</table>
</file>

<file path=xl/tables/table5.xml><?xml version="1.0" encoding="utf-8"?>
<table xmlns="http://schemas.openxmlformats.org/spreadsheetml/2006/main" ref="E240:E250" displayName="Table_5" id="5">
  <tableColumns count="1">
    <tableColumn name="Motie tot aanschaffing van 10 traxx locomotieven" id="1"/>
  </tableColumns>
  <tableStyleInfo name="Moties-style 5" showColumnStripes="0" showFirstColumn="1" showLastColumn="1" showRowStripes="1"/>
</table>
</file>

<file path=xl/tables/table6.xml><?xml version="1.0" encoding="utf-8"?>
<table xmlns="http://schemas.openxmlformats.org/spreadsheetml/2006/main" headerRowCount="0" ref="E83:E119" displayName="Table_6" id="6">
  <tableColumns count="1">
    <tableColumn name="Column1" id="1"/>
  </tableColumns>
  <tableStyleInfo name="Moties-style 6" showColumnStripes="0" showFirstColumn="1" showLastColumn="1" showRowStripes="1"/>
</table>
</file>

<file path=xl/tables/table7.xml><?xml version="1.0" encoding="utf-8"?>
<table xmlns="http://schemas.openxmlformats.org/spreadsheetml/2006/main" headerRowCount="0" ref="E56:E81" displayName="Table_7" id="7">
  <tableColumns count="1">
    <tableColumn name="Column1" id="1"/>
  </tableColumns>
  <tableStyleInfo name="Moties-style 7" showColumnStripes="0" showFirstColumn="1" showLastColumn="1" showRowStripes="1"/>
</table>
</file>

<file path=xl/tables/table8.xml><?xml version="1.0" encoding="utf-8"?>
<table xmlns="http://schemas.openxmlformats.org/spreadsheetml/2006/main" headerRowCount="0" ref="B56:B81" displayName="Table_8" id="8">
  <tableColumns count="1">
    <tableColumn name="Column1" id="1"/>
  </tableColumns>
  <tableStyleInfo name="Moties-style 8" showColumnStripes="0" showFirstColumn="1" showLastColumn="1" showRowStripes="1"/>
</table>
</file>

<file path=xl/tables/table9.xml><?xml version="1.0" encoding="utf-8"?>
<table xmlns="http://schemas.openxmlformats.org/spreadsheetml/2006/main" headerRowCount="0" ref="B83:B119" displayName="Table_9" id="9">
  <tableColumns count="1">
    <tableColumn name="Column1" id="1"/>
  </tableColumns>
  <tableStyleInfo name="Moties-style 9"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Roboto"/>
        <a:ea typeface="Roboto"/>
        <a:cs typeface="Roboto"/>
      </a:majorFont>
      <a:minorFont>
        <a:latin typeface="Roboto"/>
        <a:ea typeface="Roboto"/>
        <a:cs typeface="Roboto"/>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reddit.com/r/RMTK/comments/h8sb9e/word_lid_van_rmtk/" TargetMode="External"/><Relationship Id="rId2" Type="http://schemas.openxmlformats.org/officeDocument/2006/relationships/hyperlink" Target="https://drive.google.com/file/d/1bU09kgb6zysKHiXU-c6Kq1CWcfXT36DR/view?usp=sharing" TargetMode="External"/><Relationship Id="rId3" Type="http://schemas.openxmlformats.org/officeDocument/2006/relationships/hyperlink" Target="https://drive.google.com/file/d/1X0TpEC5RAhRysS3x9QN0uKx8aOBjXVdf/view?usp=sharing" TargetMode="External"/><Relationship Id="rId4" Type="http://schemas.openxmlformats.org/officeDocument/2006/relationships/hyperlink" Target="https://drive.google.com/file/d/1KT2Ube55MKKrm741KnBUjYH-i4Pk31Kk/view" TargetMode="External"/><Relationship Id="rId5" Type="http://schemas.openxmlformats.org/officeDocument/2006/relationships/hyperlink" Target="https://indienen.th8.nl/agenda" TargetMode="External"/><Relationship Id="rId6" Type="http://schemas.openxmlformats.org/officeDocument/2006/relationships/hyperlink" Target="https://drive.google.com/drive/u/6/folders/1QQFEz3YciEjuLPud-SXwWEDmFlN9B3WW" TargetMode="External"/><Relationship Id="rId7"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10.xml"/><Relationship Id="rId3" Type="http://schemas.openxmlformats.org/officeDocument/2006/relationships/vmlDrawing" Target="../drawings/vmlDrawing4.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drawing" Target="../drawings/drawing11.xml"/><Relationship Id="rId3" Type="http://schemas.openxmlformats.org/officeDocument/2006/relationships/vmlDrawing" Target="../drawings/vmlDrawing5.v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drive.google.com/file/d/1X0TpEC5RAhRysS3x9QN0uKx8aOBjXVdf/view" TargetMode="External"/><Relationship Id="rId3" Type="http://schemas.openxmlformats.org/officeDocument/2006/relationships/drawing" Target="../drawings/drawing13.xml"/><Relationship Id="rId4" Type="http://schemas.openxmlformats.org/officeDocument/2006/relationships/vmlDrawing" Target="../drawings/vmlDrawing6.v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40" Type="http://schemas.openxmlformats.org/officeDocument/2006/relationships/hyperlink" Target="https://archive.is/uaV4P" TargetMode="External"/><Relationship Id="rId42" Type="http://schemas.openxmlformats.org/officeDocument/2006/relationships/hyperlink" Target="https://archive.is/kS1Xe" TargetMode="External"/><Relationship Id="rId41" Type="http://schemas.openxmlformats.org/officeDocument/2006/relationships/hyperlink" Target="https://archive.is/NJDNX" TargetMode="External"/><Relationship Id="rId44" Type="http://schemas.openxmlformats.org/officeDocument/2006/relationships/hyperlink" Target="https://archive.is/sLlHH" TargetMode="External"/><Relationship Id="rId43" Type="http://schemas.openxmlformats.org/officeDocument/2006/relationships/hyperlink" Target="https://archive.is/9yeDe" TargetMode="External"/><Relationship Id="rId46" Type="http://schemas.openxmlformats.org/officeDocument/2006/relationships/hyperlink" Target="https://archive.is/CYbBI" TargetMode="External"/><Relationship Id="rId45" Type="http://schemas.openxmlformats.org/officeDocument/2006/relationships/hyperlink" Target="https://archive.is/ZcznJ" TargetMode="External"/><Relationship Id="rId48" Type="http://schemas.openxmlformats.org/officeDocument/2006/relationships/hyperlink" Target="https://archive.is/XJIoN" TargetMode="External"/><Relationship Id="rId47" Type="http://schemas.openxmlformats.org/officeDocument/2006/relationships/hyperlink" Target="https://archive.is/r4A9H" TargetMode="External"/><Relationship Id="rId49" Type="http://schemas.openxmlformats.org/officeDocument/2006/relationships/hyperlink" Target="https://archive.is/2VfZa" TargetMode="External"/><Relationship Id="rId31" Type="http://schemas.openxmlformats.org/officeDocument/2006/relationships/hyperlink" Target="https://archive.is/Uc2xb" TargetMode="External"/><Relationship Id="rId30" Type="http://schemas.openxmlformats.org/officeDocument/2006/relationships/hyperlink" Target="https://archive.is/m3EnU" TargetMode="External"/><Relationship Id="rId33" Type="http://schemas.openxmlformats.org/officeDocument/2006/relationships/hyperlink" Target="https://archive.is/dRmtD" TargetMode="External"/><Relationship Id="rId32" Type="http://schemas.openxmlformats.org/officeDocument/2006/relationships/hyperlink" Target="https://archive.is/JUUdS" TargetMode="External"/><Relationship Id="rId35" Type="http://schemas.openxmlformats.org/officeDocument/2006/relationships/hyperlink" Target="https://archive.is/Jd9FS" TargetMode="External"/><Relationship Id="rId34" Type="http://schemas.openxmlformats.org/officeDocument/2006/relationships/hyperlink" Target="https://archive.is/zzeYn" TargetMode="External"/><Relationship Id="rId37" Type="http://schemas.openxmlformats.org/officeDocument/2006/relationships/hyperlink" Target="https://archive.is/vg71I" TargetMode="External"/><Relationship Id="rId36" Type="http://schemas.openxmlformats.org/officeDocument/2006/relationships/hyperlink" Target="https://archive.is/5zfMq" TargetMode="External"/><Relationship Id="rId39" Type="http://schemas.openxmlformats.org/officeDocument/2006/relationships/hyperlink" Target="https://archive.is/6bIOS" TargetMode="External"/><Relationship Id="rId38" Type="http://schemas.openxmlformats.org/officeDocument/2006/relationships/hyperlink" Target="https://archive.is/miCkm" TargetMode="External"/><Relationship Id="rId20" Type="http://schemas.openxmlformats.org/officeDocument/2006/relationships/hyperlink" Target="https://archive.is/9VUy1" TargetMode="External"/><Relationship Id="rId22" Type="http://schemas.openxmlformats.org/officeDocument/2006/relationships/hyperlink" Target="https://archive.is/LUVPY" TargetMode="External"/><Relationship Id="rId21" Type="http://schemas.openxmlformats.org/officeDocument/2006/relationships/hyperlink" Target="http://archive.is" TargetMode="External"/><Relationship Id="rId24" Type="http://schemas.openxmlformats.org/officeDocument/2006/relationships/hyperlink" Target="https://archive.is/wffct" TargetMode="External"/><Relationship Id="rId23" Type="http://schemas.openxmlformats.org/officeDocument/2006/relationships/hyperlink" Target="http://archive.is" TargetMode="External"/><Relationship Id="rId26" Type="http://schemas.openxmlformats.org/officeDocument/2006/relationships/hyperlink" Target="https://archive.is/2OxED" TargetMode="External"/><Relationship Id="rId25" Type="http://schemas.openxmlformats.org/officeDocument/2006/relationships/hyperlink" Target="http://archive.is" TargetMode="External"/><Relationship Id="rId28" Type="http://schemas.openxmlformats.org/officeDocument/2006/relationships/hyperlink" Target="https://archive.is/SkoBv" TargetMode="External"/><Relationship Id="rId27" Type="http://schemas.openxmlformats.org/officeDocument/2006/relationships/hyperlink" Target="https://archive.is/zIJFK" TargetMode="External"/><Relationship Id="rId29" Type="http://schemas.openxmlformats.org/officeDocument/2006/relationships/hyperlink" Target="https://archive.is/r5B3r" TargetMode="External"/><Relationship Id="rId11" Type="http://schemas.openxmlformats.org/officeDocument/2006/relationships/hyperlink" Target="http://archive.is" TargetMode="External"/><Relationship Id="rId10" Type="http://schemas.openxmlformats.org/officeDocument/2006/relationships/hyperlink" Target="https://archive.is/COXeJ" TargetMode="External"/><Relationship Id="rId13" Type="http://schemas.openxmlformats.org/officeDocument/2006/relationships/hyperlink" Target="http://archive.is" TargetMode="External"/><Relationship Id="rId12" Type="http://schemas.openxmlformats.org/officeDocument/2006/relationships/hyperlink" Target="https://archive.is/JyZLb" TargetMode="External"/><Relationship Id="rId15" Type="http://schemas.openxmlformats.org/officeDocument/2006/relationships/hyperlink" Target="http://archive.is" TargetMode="External"/><Relationship Id="rId14" Type="http://schemas.openxmlformats.org/officeDocument/2006/relationships/hyperlink" Target="https://archive.is/gInUs" TargetMode="External"/><Relationship Id="rId17" Type="http://schemas.openxmlformats.org/officeDocument/2006/relationships/hyperlink" Target="http://archive.is" TargetMode="External"/><Relationship Id="rId16" Type="http://schemas.openxmlformats.org/officeDocument/2006/relationships/hyperlink" Target="https://archive.is/7sUBQ" TargetMode="External"/><Relationship Id="rId19" Type="http://schemas.openxmlformats.org/officeDocument/2006/relationships/hyperlink" Target="http://archive.is" TargetMode="External"/><Relationship Id="rId18" Type="http://schemas.openxmlformats.org/officeDocument/2006/relationships/hyperlink" Target="https://archive.is/oAHEV" TargetMode="External"/><Relationship Id="rId1" Type="http://schemas.openxmlformats.org/officeDocument/2006/relationships/comments" Target="../comments7.xml"/><Relationship Id="rId2" Type="http://schemas.openxmlformats.org/officeDocument/2006/relationships/hyperlink" Target="https://drive.google.com/drive/folders/1QQFEz3YciEjuLPud-SXwWEDmFlN9B3WW?usp=sharing" TargetMode="External"/><Relationship Id="rId3" Type="http://schemas.openxmlformats.org/officeDocument/2006/relationships/hyperlink" Target="https://drive.google.com/drive/u/6/folders/1QQFEz3YciEjuLPud-SXwWEDmFlN9B3WW" TargetMode="External"/><Relationship Id="rId4" Type="http://schemas.openxmlformats.org/officeDocument/2006/relationships/hyperlink" Target="https://archive.is/VODD8" TargetMode="External"/><Relationship Id="rId9" Type="http://schemas.openxmlformats.org/officeDocument/2006/relationships/hyperlink" Target="http://archive.is" TargetMode="External"/><Relationship Id="rId5" Type="http://schemas.openxmlformats.org/officeDocument/2006/relationships/hyperlink" Target="http://archive.is" TargetMode="External"/><Relationship Id="rId6" Type="http://schemas.openxmlformats.org/officeDocument/2006/relationships/hyperlink" Target="https://archive.is/8iOjm" TargetMode="External"/><Relationship Id="rId7" Type="http://schemas.openxmlformats.org/officeDocument/2006/relationships/hyperlink" Target="http://archive.is" TargetMode="External"/><Relationship Id="rId8" Type="http://schemas.openxmlformats.org/officeDocument/2006/relationships/hyperlink" Target="https://archive.is/WoL7X" TargetMode="External"/><Relationship Id="rId73" Type="http://schemas.openxmlformats.org/officeDocument/2006/relationships/drawing" Target="../drawings/drawing15.xml"/><Relationship Id="rId72" Type="http://schemas.openxmlformats.org/officeDocument/2006/relationships/hyperlink" Target="https://archive.is/xCoKC" TargetMode="External"/><Relationship Id="rId74" Type="http://schemas.openxmlformats.org/officeDocument/2006/relationships/vmlDrawing" Target="../drawings/vmlDrawing7.vml"/><Relationship Id="rId76" Type="http://schemas.openxmlformats.org/officeDocument/2006/relationships/table" Target="../tables/table31.xml"/><Relationship Id="rId71" Type="http://schemas.openxmlformats.org/officeDocument/2006/relationships/hyperlink" Target="https://archive.is/2XL1C" TargetMode="External"/><Relationship Id="rId70" Type="http://schemas.openxmlformats.org/officeDocument/2006/relationships/hyperlink" Target="https://www.youtube.com/watch?v=wQiFDSdt0AU&amp;feature=youtu.be" TargetMode="External"/><Relationship Id="rId62" Type="http://schemas.openxmlformats.org/officeDocument/2006/relationships/hyperlink" Target="https://archive.is/Trk7K" TargetMode="External"/><Relationship Id="rId61" Type="http://schemas.openxmlformats.org/officeDocument/2006/relationships/hyperlink" Target="https://archive.is/YOTrW" TargetMode="External"/><Relationship Id="rId64" Type="http://schemas.openxmlformats.org/officeDocument/2006/relationships/hyperlink" Target="https://archive.is/bfxaY" TargetMode="External"/><Relationship Id="rId63" Type="http://schemas.openxmlformats.org/officeDocument/2006/relationships/hyperlink" Target="https://archive.is/CHd0s" TargetMode="External"/><Relationship Id="rId66" Type="http://schemas.openxmlformats.org/officeDocument/2006/relationships/hyperlink" Target="https://archive.is/faewe" TargetMode="External"/><Relationship Id="rId65" Type="http://schemas.openxmlformats.org/officeDocument/2006/relationships/hyperlink" Target="https://archive.is/edgWk" TargetMode="External"/><Relationship Id="rId68" Type="http://schemas.openxmlformats.org/officeDocument/2006/relationships/hyperlink" Target="https://archive.is/Wu2Eh" TargetMode="External"/><Relationship Id="rId67" Type="http://schemas.openxmlformats.org/officeDocument/2006/relationships/hyperlink" Target="https://archive.is/hPfde" TargetMode="External"/><Relationship Id="rId60" Type="http://schemas.openxmlformats.org/officeDocument/2006/relationships/hyperlink" Target="https://archive.is/POXPl" TargetMode="External"/><Relationship Id="rId69" Type="http://schemas.openxmlformats.org/officeDocument/2006/relationships/hyperlink" Target="https://archive.is/HqN9u" TargetMode="External"/><Relationship Id="rId51" Type="http://schemas.openxmlformats.org/officeDocument/2006/relationships/hyperlink" Target="https://archive.is/kufUe" TargetMode="External"/><Relationship Id="rId50" Type="http://schemas.openxmlformats.org/officeDocument/2006/relationships/hyperlink" Target="https://archive.is/7enPz" TargetMode="External"/><Relationship Id="rId53" Type="http://schemas.openxmlformats.org/officeDocument/2006/relationships/hyperlink" Target="https://archive.is/ZcznJ" TargetMode="External"/><Relationship Id="rId52" Type="http://schemas.openxmlformats.org/officeDocument/2006/relationships/hyperlink" Target="https://archive.is/9yeDe" TargetMode="External"/><Relationship Id="rId55" Type="http://schemas.openxmlformats.org/officeDocument/2006/relationships/hyperlink" Target="https://archive.is/r4A9H" TargetMode="External"/><Relationship Id="rId54" Type="http://schemas.openxmlformats.org/officeDocument/2006/relationships/hyperlink" Target="https://archive.is/CYbBI" TargetMode="External"/><Relationship Id="rId57" Type="http://schemas.openxmlformats.org/officeDocument/2006/relationships/hyperlink" Target="https://archive.is/Pu8DM" TargetMode="External"/><Relationship Id="rId56" Type="http://schemas.openxmlformats.org/officeDocument/2006/relationships/hyperlink" Target="https://archive.is/7RBrn" TargetMode="External"/><Relationship Id="rId59" Type="http://schemas.openxmlformats.org/officeDocument/2006/relationships/hyperlink" Target="https://archive.is/9KUIW" TargetMode="External"/><Relationship Id="rId58" Type="http://schemas.openxmlformats.org/officeDocument/2006/relationships/hyperlink" Target="https://archive.is/upZSM" TargetMode="Externa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40" Type="http://schemas.openxmlformats.org/officeDocument/2006/relationships/hyperlink" Target="https://reddit.com/r/RMTK/comments/gptqc5" TargetMode="External"/><Relationship Id="rId42" Type="http://schemas.openxmlformats.org/officeDocument/2006/relationships/hyperlink" Target="https://reddit.com/r/RMTK/comments/gvrxmv" TargetMode="External"/><Relationship Id="rId41" Type="http://schemas.openxmlformats.org/officeDocument/2006/relationships/hyperlink" Target="https://reddit.com/r/RMTK/comments/gv5b4h" TargetMode="External"/><Relationship Id="rId44" Type="http://schemas.openxmlformats.org/officeDocument/2006/relationships/hyperlink" Target="https://reddit.com/r/RMTK/comments/gvvl68" TargetMode="External"/><Relationship Id="rId43" Type="http://schemas.openxmlformats.org/officeDocument/2006/relationships/hyperlink" Target="https://reddit.com/r/RMTK/comments/gwfbv8" TargetMode="External"/><Relationship Id="rId46" Type="http://schemas.openxmlformats.org/officeDocument/2006/relationships/hyperlink" Target="https://reddit.com/r/RMTK/comments/gx2jk2" TargetMode="External"/><Relationship Id="rId45" Type="http://schemas.openxmlformats.org/officeDocument/2006/relationships/hyperlink" Target="https://reddit.com/r/RMTK/comments/gxsjbo" TargetMode="External"/><Relationship Id="rId48" Type="http://schemas.openxmlformats.org/officeDocument/2006/relationships/hyperlink" Target="https://reddit.com/r/RMTK/comments/gydys8" TargetMode="External"/><Relationship Id="rId47" Type="http://schemas.openxmlformats.org/officeDocument/2006/relationships/hyperlink" Target="https://reddit.com/r/RMTK/comments/gxxf9q" TargetMode="External"/><Relationship Id="rId49" Type="http://schemas.openxmlformats.org/officeDocument/2006/relationships/hyperlink" Target="https://reddit.com/r/RMTK/comments/gum7nf" TargetMode="External"/><Relationship Id="rId31" Type="http://schemas.openxmlformats.org/officeDocument/2006/relationships/hyperlink" Target="https://reddit.com/r/RMTK/comments/gku9kz" TargetMode="External"/><Relationship Id="rId30" Type="http://schemas.openxmlformats.org/officeDocument/2006/relationships/hyperlink" Target="https://reddit.com/r/RMTK/comments/gjm78i" TargetMode="External"/><Relationship Id="rId33" Type="http://schemas.openxmlformats.org/officeDocument/2006/relationships/hyperlink" Target="https://reddit.com/r/RMTK/comments/gpdn75" TargetMode="External"/><Relationship Id="rId32" Type="http://schemas.openxmlformats.org/officeDocument/2006/relationships/hyperlink" Target="https://reddit.com/r/RMTK/comments/gokzbw" TargetMode="External"/><Relationship Id="rId35" Type="http://schemas.openxmlformats.org/officeDocument/2006/relationships/hyperlink" Target="https://reddit.com/r/RMTK/comments/gicu96" TargetMode="External"/><Relationship Id="rId34" Type="http://schemas.openxmlformats.org/officeDocument/2006/relationships/hyperlink" Target="https://www.reddit.com/r/RMTK/comments/gr6gm4/m0204_motie_tot_het_onthouden_van_wapenembargos/" TargetMode="External"/><Relationship Id="rId37" Type="http://schemas.openxmlformats.org/officeDocument/2006/relationships/hyperlink" Target="https://reddit.com/r/RMTK/comments/gncyo3" TargetMode="External"/><Relationship Id="rId36" Type="http://schemas.openxmlformats.org/officeDocument/2006/relationships/hyperlink" Target="https://reddit.com/r/RMTK/comments/gjnyww" TargetMode="External"/><Relationship Id="rId39" Type="http://schemas.openxmlformats.org/officeDocument/2006/relationships/hyperlink" Target="https://reddit.com/r/RMTK/comments/gp6ehs" TargetMode="External"/><Relationship Id="rId38" Type="http://schemas.openxmlformats.org/officeDocument/2006/relationships/hyperlink" Target="https://www.reddit.com/r/RMTK/comments/gpyeum/w0097i_amendement_tot_wijziging_van_de_wet_tot/" TargetMode="External"/><Relationship Id="rId20" Type="http://schemas.openxmlformats.org/officeDocument/2006/relationships/hyperlink" Target="https://www.reddit.com/r/RMTK/comments/gkao3p/m0183_motie_tot_kwaliteit_bij_staatsrechtelijke/" TargetMode="External"/><Relationship Id="rId22" Type="http://schemas.openxmlformats.org/officeDocument/2006/relationships/hyperlink" Target="https://reddit.com/r/RMTK/comments/gm7q2f" TargetMode="External"/><Relationship Id="rId21" Type="http://schemas.openxmlformats.org/officeDocument/2006/relationships/hyperlink" Target="https://reddit.com/r/RMTK/comments/gi92kk" TargetMode="External"/><Relationship Id="rId24" Type="http://schemas.openxmlformats.org/officeDocument/2006/relationships/hyperlink" Target="https://reddit.com/r/RMTK/comments/gfssqx" TargetMode="External"/><Relationship Id="rId23" Type="http://schemas.openxmlformats.org/officeDocument/2006/relationships/hyperlink" Target="https://reddit.com/r/RMTK/comments/gn9d57" TargetMode="External"/><Relationship Id="rId26" Type="http://schemas.openxmlformats.org/officeDocument/2006/relationships/hyperlink" Target="https://reddit.com/r/RMTK/comments/ghp690" TargetMode="External"/><Relationship Id="rId25" Type="http://schemas.openxmlformats.org/officeDocument/2006/relationships/hyperlink" Target="https://reddit.com/r/RMTK/comments/ggf1z2" TargetMode="External"/><Relationship Id="rId28" Type="http://schemas.openxmlformats.org/officeDocument/2006/relationships/hyperlink" Target="https://reddit.com/r/RMTK/comments/gqx5uq" TargetMode="External"/><Relationship Id="rId27" Type="http://schemas.openxmlformats.org/officeDocument/2006/relationships/hyperlink" Target="https://reddit.com/r/RMTK/comments/gmmcvr" TargetMode="External"/><Relationship Id="rId29" Type="http://schemas.openxmlformats.org/officeDocument/2006/relationships/hyperlink" Target="https://reddit.com/r/RMTK/comments/giyl4h" TargetMode="External"/><Relationship Id="rId11" Type="http://schemas.openxmlformats.org/officeDocument/2006/relationships/hyperlink" Target="https://www.reddit.com/r/RMTK/comments/hc8dp2/resultaten_stemming_tweede_kamer_over_m0191_m0192/" TargetMode="External"/><Relationship Id="rId10" Type="http://schemas.openxmlformats.org/officeDocument/2006/relationships/hyperlink" Target="https://www.reddit.com/r/RMTK/comments/hhcu82/resultaten_stemming_tweede_kamer_over_m0184_m0186/" TargetMode="External"/><Relationship Id="rId13" Type="http://schemas.openxmlformats.org/officeDocument/2006/relationships/hyperlink" Target="https://redd.it/hjuvdq" TargetMode="External"/><Relationship Id="rId12" Type="http://schemas.openxmlformats.org/officeDocument/2006/relationships/hyperlink" Target="https://www.reddit.com/r/RMTK/comments/hhcgc2/resultaten_stemming_tweede_kamer_over_m0200_m0207/" TargetMode="External"/><Relationship Id="rId15" Type="http://schemas.openxmlformats.org/officeDocument/2006/relationships/hyperlink" Target="https://www.reddit.com/r/RMTK/comments/hrlk7s/" TargetMode="External"/><Relationship Id="rId14" Type="http://schemas.openxmlformats.org/officeDocument/2006/relationships/hyperlink" Target="https://www.reddit.com/r/RMTK/comments/hngwlc/" TargetMode="External"/><Relationship Id="rId17" Type="http://schemas.openxmlformats.org/officeDocument/2006/relationships/hyperlink" Target="https://www.reddit.com/r/RMTK/comments/hxkb86" TargetMode="External"/><Relationship Id="rId16" Type="http://schemas.openxmlformats.org/officeDocument/2006/relationships/hyperlink" Target="https://www.reddit.com/r/RMTK/comments/hte8b7" TargetMode="External"/><Relationship Id="rId19" Type="http://schemas.openxmlformats.org/officeDocument/2006/relationships/hyperlink" Target="https://www.reddit.com/r/RMTK/comments/i8et1d" TargetMode="External"/><Relationship Id="rId18" Type="http://schemas.openxmlformats.org/officeDocument/2006/relationships/hyperlink" Target="https://www.reddit.com/r/RMTK/comments/i4cvmq" TargetMode="External"/><Relationship Id="rId1" Type="http://schemas.openxmlformats.org/officeDocument/2006/relationships/comments" Target="../comments8.xml"/><Relationship Id="rId2" Type="http://schemas.openxmlformats.org/officeDocument/2006/relationships/hyperlink" Target="https://www.reddit.com/r/RMTK/comments/g0pnw0/resultaten_stemming_tweede_kamer_over_m0149_m0150/" TargetMode="External"/><Relationship Id="rId3" Type="http://schemas.openxmlformats.org/officeDocument/2006/relationships/hyperlink" Target="https://www.reddit.com/r/RMTK/comments/g4yc0f/resultaten_stemming_tweede_kamer_over_m0152_m0153/" TargetMode="External"/><Relationship Id="rId4" Type="http://schemas.openxmlformats.org/officeDocument/2006/relationships/hyperlink" Target="https://www.reddit.com/r/RMTK/comments/gb4s8g/resultaten_stemming_tweede_kamer_over_m0155_m0156/" TargetMode="External"/><Relationship Id="rId9" Type="http://schemas.openxmlformats.org/officeDocument/2006/relationships/hyperlink" Target="https://redd.it/gy85o1" TargetMode="External"/><Relationship Id="rId5" Type="http://schemas.openxmlformats.org/officeDocument/2006/relationships/hyperlink" Target="https://redd.it/gdiwl1" TargetMode="External"/><Relationship Id="rId6" Type="http://schemas.openxmlformats.org/officeDocument/2006/relationships/hyperlink" Target="https://redd.it/ghu716" TargetMode="External"/><Relationship Id="rId7" Type="http://schemas.openxmlformats.org/officeDocument/2006/relationships/hyperlink" Target="https://www.reddit.com/r/RMTK/comments/gndg93/resultaten_stemming_tweede_kamer_over_m0167_w0089/" TargetMode="External"/><Relationship Id="rId8" Type="http://schemas.openxmlformats.org/officeDocument/2006/relationships/hyperlink" Target="https://www.reddit.com/r/RMTK/comments/gsad2a/resultaten_stemming_tweede_kamer_over_m0172_m0180/" TargetMode="External"/><Relationship Id="rId62" Type="http://schemas.openxmlformats.org/officeDocument/2006/relationships/hyperlink" Target="https://reddit.com/r/RMTK/comments/gm7q2f" TargetMode="External"/><Relationship Id="rId61" Type="http://schemas.openxmlformats.org/officeDocument/2006/relationships/hyperlink" Target="https://reddit.com/r/RMTK/comments/gi92kk" TargetMode="External"/><Relationship Id="rId64" Type="http://schemas.openxmlformats.org/officeDocument/2006/relationships/hyperlink" Target="https://reddit.com/r/RMTK/comments/gfssqx" TargetMode="External"/><Relationship Id="rId63" Type="http://schemas.openxmlformats.org/officeDocument/2006/relationships/hyperlink" Target="https://reddit.com/r/RMTK/comments/gn9d57" TargetMode="External"/><Relationship Id="rId66" Type="http://schemas.openxmlformats.org/officeDocument/2006/relationships/hyperlink" Target="https://reddit.com/r/RMTK/comments/ghp690" TargetMode="External"/><Relationship Id="rId65" Type="http://schemas.openxmlformats.org/officeDocument/2006/relationships/hyperlink" Target="https://reddit.com/r/RMTK/comments/ggf1z2" TargetMode="External"/><Relationship Id="rId68" Type="http://schemas.openxmlformats.org/officeDocument/2006/relationships/vmlDrawing" Target="../drawings/vmlDrawing8.vml"/><Relationship Id="rId67" Type="http://schemas.openxmlformats.org/officeDocument/2006/relationships/drawing" Target="../drawings/drawing17.xml"/><Relationship Id="rId60" Type="http://schemas.openxmlformats.org/officeDocument/2006/relationships/hyperlink" Target="https://www.reddit.com/r/RMTK/comments/gkao3p/m0183_motie_tot_kwaliteit_bij_staatsrechtelijke/" TargetMode="External"/><Relationship Id="rId51" Type="http://schemas.openxmlformats.org/officeDocument/2006/relationships/hyperlink" Target="https://www.reddit.com/r/RMTK/comments/h08mll/m0207_motie_tot_nauwere_samenwerking_met_nietnavo/" TargetMode="External"/><Relationship Id="rId50" Type="http://schemas.openxmlformats.org/officeDocument/2006/relationships/hyperlink" Target="https://www.reddit.com/r/RMTK/comments/gzkxj8/m0200_motie_tot_opschorting_export_van_plastic/" TargetMode="External"/><Relationship Id="rId53" Type="http://schemas.openxmlformats.org/officeDocument/2006/relationships/hyperlink" Target="https://www.reddit.com/r/RMTK/comments/h0cqjm/m0211_motie_tot_maatregelen_tegen_de_chinese/" TargetMode="External"/><Relationship Id="rId52" Type="http://schemas.openxmlformats.org/officeDocument/2006/relationships/hyperlink" Target="https://www.reddit.com/r/RMTK/comments/h8rtya/m0208_motie_tot_het_oprichten_van_een_concert_of/?utm_source=reddit&amp;utm_medium=usertext&amp;utm_name=RMTK&amp;utm_content=t3_hhcgc2" TargetMode="External"/><Relationship Id="rId55" Type="http://schemas.openxmlformats.org/officeDocument/2006/relationships/hyperlink" Target="https://www.reddit.com/r/RMTK/comments/h0x5ti/w105_wetswijziging_waadi_2020/" TargetMode="External"/><Relationship Id="rId54" Type="http://schemas.openxmlformats.org/officeDocument/2006/relationships/hyperlink" Target="https://www.reddit.com/r/RMTK/comments/gv8xjk/w0102_wet_openbreken_van_de_telecommunicatiemarkt/" TargetMode="External"/><Relationship Id="rId57" Type="http://schemas.openxmlformats.org/officeDocument/2006/relationships/hyperlink" Target="https://www.reddit.com/r/RMTK/comments/g9mrib" TargetMode="External"/><Relationship Id="rId56" Type="http://schemas.openxmlformats.org/officeDocument/2006/relationships/hyperlink" Target="https://www.reddit.com/r/RMTK/comments/g7t5gv/m0167_motie_tot_verbieden_participatieverklaring/" TargetMode="External"/><Relationship Id="rId59" Type="http://schemas.openxmlformats.org/officeDocument/2006/relationships/hyperlink" Target="https://www.reddit.com/r/RMTK/comments/ghu0dd/m0182_motie_van_wantrouwen_jegens_de_minister_van/" TargetMode="External"/><Relationship Id="rId58" Type="http://schemas.openxmlformats.org/officeDocument/2006/relationships/hyperlink" Target="https://www.reddit.com/r/RMTK/comments/gf4gid/m0171_motie_tot_vak_belastingaangifte/" TargetMode="External"/></Relationships>
</file>

<file path=xl/worksheets/_rels/sheet18.xml.rels><?xml version="1.0" encoding="UTF-8" standalone="yes"?><Relationships xmlns="http://schemas.openxmlformats.org/package/2006/relationships"><Relationship Id="rId1" Type="http://schemas.openxmlformats.org/officeDocument/2006/relationships/hyperlink" Target="https://www.reddit.com/r/RMTK/comments/g0porv/resultaten_stemming_eerste_kamer_over_w0072/" TargetMode="External"/><Relationship Id="rId2" Type="http://schemas.openxmlformats.org/officeDocument/2006/relationships/hyperlink" Target="https://www.reddit.com/r/RMTK/comments/g4ycpa/resultaten_stemming_eerste_kamer_over_w0075_w0077/" TargetMode="External"/><Relationship Id="rId3" Type="http://schemas.openxmlformats.org/officeDocument/2006/relationships/hyperlink" Target="https://www.reddit.com/r/RMTK/comments/gb4svd/resultaten_stemming_eerste_kamer_over_w0079/" TargetMode="External"/><Relationship Id="rId4" Type="http://schemas.openxmlformats.org/officeDocument/2006/relationships/hyperlink" Target="https://www.reddit.com/r/RMTK/comments/gdixjo/resultaten_stemming_eerste_kamer_over_w0076/" TargetMode="External"/><Relationship Id="rId5" Type="http://schemas.openxmlformats.org/officeDocument/2006/relationships/hyperlink" Target="https://www.reddit.com/r/RMTK/comments/gndgbf/resultaten_stemming_eerste_kamer_over_w0081_w0083/" TargetMode="External"/><Relationship Id="rId6" Type="http://schemas.openxmlformats.org/officeDocument/2006/relationships/hyperlink" Target="https://www.reddit.com/r/RMTK/comments/gsaccg/resultaten_stemming_eerste_kamer_over_w0089_w0088/" TargetMode="External"/><Relationship Id="rId7" Type="http://schemas.openxmlformats.org/officeDocument/2006/relationships/hyperlink" Target="https://www.reddit.com/r/RMTK/comments/fsgnao/" TargetMode="External"/><Relationship Id="rId8"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hyperlink" Target="https://www.reddit.com/r/RMTK/comments/e5znmk/w0054_grondwetswijziging_ter/" TargetMode="External"/><Relationship Id="rId2"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1" Type="http://schemas.openxmlformats.org/officeDocument/2006/relationships/drawing" Target="../drawings/drawing22.xml"/><Relationship Id="rId10" Type="http://schemas.openxmlformats.org/officeDocument/2006/relationships/hyperlink" Target="https://www.reddit.com/r/RMTK/comments/dwce3f/w0051_wijziging_van_de_grondwet_vanwege_het/" TargetMode="External"/><Relationship Id="rId1" Type="http://schemas.openxmlformats.org/officeDocument/2006/relationships/hyperlink" Target="https://www.reddit.com/r/RMTK/comments/drl0sa/m0120_motie_tot_de_aanpak_van_intensieve/" TargetMode="External"/><Relationship Id="rId2" Type="http://schemas.openxmlformats.org/officeDocument/2006/relationships/hyperlink" Target="https://www.reddit.com/r/RMTK/comments/dt2s9z/m0121_motie_aangaande_het_opschorten_van_het/" TargetMode="External"/><Relationship Id="rId3" Type="http://schemas.openxmlformats.org/officeDocument/2006/relationships/hyperlink" Target="https://www.reddit.com/r/RMTK/comments/ds2nrf/w0046_rijksbegroting_2020_buitenlandse_zaken/" TargetMode="External"/><Relationship Id="rId4" Type="http://schemas.openxmlformats.org/officeDocument/2006/relationships/hyperlink" Target="https://www.reddit.com/r/RMTK/comments/ds2nu7/w0047_rijksbegroting_2020_defensie_en/" TargetMode="External"/><Relationship Id="rId9" Type="http://schemas.openxmlformats.org/officeDocument/2006/relationships/hyperlink" Target="https://www.reddit.com/r/RMTK/comments/dvxgay/w0050_intrekkingswetsvoorstel_wetswijzing/" TargetMode="External"/><Relationship Id="rId5" Type="http://schemas.openxmlformats.org/officeDocument/2006/relationships/hyperlink" Target="https://www.reddit.com/r/RMTK/comments/dtj67r/w0048i_amendement_sanctiewet_republiek_turkije/" TargetMode="External"/><Relationship Id="rId6" Type="http://schemas.openxmlformats.org/officeDocument/2006/relationships/hyperlink" Target="https://www.reddit.com/r/RMTK/comments/dtjaf2/amendement_sanctiewet_republiek_turkije_turkse/" TargetMode="External"/><Relationship Id="rId7" Type="http://schemas.openxmlformats.org/officeDocument/2006/relationships/hyperlink" Target="https://www.reddit.com/r/RMTK/comments/duvmyy/m0122_motie_tot_een_totaalverbod_op/" TargetMode="External"/><Relationship Id="rId8" Type="http://schemas.openxmlformats.org/officeDocument/2006/relationships/hyperlink" Target="https://www.reddit.com/r/RMTK/comments/dvhfjp/w0049_wetswijziging_tot_toestaan_polyamorisch/" TargetMode="Externa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9.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30.xml"/></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31.xml"/></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32.xml"/></Relationships>
</file>

<file path=xl/worksheets/_rels/sheet33.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drawing" Target="../drawings/drawing33.xml"/><Relationship Id="rId3" Type="http://schemas.openxmlformats.org/officeDocument/2006/relationships/vmlDrawing" Target="../drawings/vmlDrawing9.vml"/></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34.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40" Type="http://schemas.openxmlformats.org/officeDocument/2006/relationships/hyperlink" Target="https://www.reddit.com/r/RMTK/comments/gqx5v0/m0184_motie_tot_behoud_luchtalarm/" TargetMode="External"/><Relationship Id="rId42" Type="http://schemas.openxmlformats.org/officeDocument/2006/relationships/hyperlink" Target="https://www.reddit.com/r/RMTK/comments/gs45z9/m0186_motie_om_de_hongerwinter_als_genocide_te/" TargetMode="External"/><Relationship Id="rId41" Type="http://schemas.openxmlformats.org/officeDocument/2006/relationships/hyperlink" Target="https://www.reddit.com/r/RMTK/comments/gn9d57/m0185_motie_tot_onderzoek_naar_de_banden_tussen/" TargetMode="External"/><Relationship Id="rId44" Type="http://schemas.openxmlformats.org/officeDocument/2006/relationships/hyperlink" Target="https://www.reddit.com/r/RMTK/comments/i3i27e" TargetMode="External"/><Relationship Id="rId43" Type="http://schemas.openxmlformats.org/officeDocument/2006/relationships/hyperlink" Target="https://www.reddit.com/r/RMTK/comments/gs45zz/m0187_motie_tot_onderzoek_naar_drugshandel_op/" TargetMode="External"/><Relationship Id="rId46" Type="http://schemas.openxmlformats.org/officeDocument/2006/relationships/hyperlink" Target="https://www.reddit.com/r/RMTK/comments/gtcjds/m0189_motie_tot_limiteren_topsalarissen/" TargetMode="External"/><Relationship Id="rId45" Type="http://schemas.openxmlformats.org/officeDocument/2006/relationships/hyperlink" Target="https://www.reddit.com/r/RMTK/comments/gsum5i/m0188_motie_tot_opkopen_emissierechten/" TargetMode="External"/><Relationship Id="rId107" Type="http://schemas.openxmlformats.org/officeDocument/2006/relationships/hyperlink" Target="https://reddit.com/r/RMTK/comments/hwdo6h" TargetMode="External"/><Relationship Id="rId106" Type="http://schemas.openxmlformats.org/officeDocument/2006/relationships/hyperlink" Target="https://reddit.com/r/RMTK/comments/i721ot" TargetMode="External"/><Relationship Id="rId105" Type="http://schemas.openxmlformats.org/officeDocument/2006/relationships/hyperlink" Target="https://reddit.com/r/RMTK/comments/i42kh7" TargetMode="External"/><Relationship Id="rId104" Type="http://schemas.openxmlformats.org/officeDocument/2006/relationships/hyperlink" Target="https://reddit.com/r/RMTK/comments/i4p0om" TargetMode="External"/><Relationship Id="rId109" Type="http://schemas.openxmlformats.org/officeDocument/2006/relationships/hyperlink" Target="https://reddit.com/r/RMTK/comments/iby5lq" TargetMode="External"/><Relationship Id="rId108" Type="http://schemas.openxmlformats.org/officeDocument/2006/relationships/hyperlink" Target="https://reddit.com/r/RMTK/comments/ibbb4t" TargetMode="External"/><Relationship Id="rId48" Type="http://schemas.openxmlformats.org/officeDocument/2006/relationships/hyperlink" Target="https://www.reddit.com/r/RMTK/comments/guimoh/m0190_motie_tot_decriminaliseren_drugs/" TargetMode="External"/><Relationship Id="rId47" Type="http://schemas.openxmlformats.org/officeDocument/2006/relationships/hyperlink" Target="https://www.reddit.com/r/RMTK/comments/i3i27e" TargetMode="External"/><Relationship Id="rId49" Type="http://schemas.openxmlformats.org/officeDocument/2006/relationships/hyperlink" Target="https://www.reddit.com/r/RMTK/comments/i3i27e" TargetMode="External"/><Relationship Id="rId103" Type="http://schemas.openxmlformats.org/officeDocument/2006/relationships/hyperlink" Target="https://reddit.com/r/RMTK/comments/hzy20q" TargetMode="External"/><Relationship Id="rId102" Type="http://schemas.openxmlformats.org/officeDocument/2006/relationships/hyperlink" Target="https://reddit.com/r/RMTK/comments/hs6xlt" TargetMode="External"/><Relationship Id="rId101" Type="http://schemas.openxmlformats.org/officeDocument/2006/relationships/hyperlink" Target="https://reddit.com/r/RMTK/comments/hrkvj3" TargetMode="External"/><Relationship Id="rId100" Type="http://schemas.openxmlformats.org/officeDocument/2006/relationships/hyperlink" Target="https://reddit.com/r/RMTK/comments/hqytga" TargetMode="External"/><Relationship Id="rId31" Type="http://schemas.openxmlformats.org/officeDocument/2006/relationships/hyperlink" Target="https://www.reddit.com/r/RMTK/comments/gdb6s1/m0178_motie_tot_herbouwen_van_de_voetbalkantine/" TargetMode="External"/><Relationship Id="rId30" Type="http://schemas.openxmlformats.org/officeDocument/2006/relationships/hyperlink" Target="https://www.reddit.com/r/RMTK/comments/gku9kz/m0177_motie_tot_afschaffen_van_de/" TargetMode="External"/><Relationship Id="rId33" Type="http://schemas.openxmlformats.org/officeDocument/2006/relationships/hyperlink" Target="https://www.reddit.com/r/RMTK/comments/gdxb1s/m0179_motie_tot_bevestiging_steun_voor_moties/" TargetMode="External"/><Relationship Id="rId32" Type="http://schemas.openxmlformats.org/officeDocument/2006/relationships/hyperlink" Target="https://www.reddit.com/r/RMTK/comments/gr6n12/ks0028_kamerbrief_aangaande_aangenomen_motie/" TargetMode="External"/><Relationship Id="rId35" Type="http://schemas.openxmlformats.org/officeDocument/2006/relationships/hyperlink" Target="https://www.reddit.com/r/RMTK/comments/gm7q2f/m0180_motie_tot_het_gratis_maken_van/" TargetMode="External"/><Relationship Id="rId34" Type="http://schemas.openxmlformats.org/officeDocument/2006/relationships/hyperlink" Target="https://www.reddit.com/r/RMTK/comments/i3i27e" TargetMode="External"/><Relationship Id="rId37" Type="http://schemas.openxmlformats.org/officeDocument/2006/relationships/hyperlink" Target="https://www.reddit.com/r/RMTK/comments/gokzbw/m0181_motie_tot_erkenning_van_de_genocide_op/" TargetMode="External"/><Relationship Id="rId36" Type="http://schemas.openxmlformats.org/officeDocument/2006/relationships/hyperlink" Target="https://www.reddit.com/r/RMTK/comments/i3i27e" TargetMode="External"/><Relationship Id="rId39" Type="http://schemas.openxmlformats.org/officeDocument/2006/relationships/hyperlink" Target="https://www.reddit.com/r/RMTK/comments/gkao3p/m0183_motie_tot_kwaliteit_bij_staatsrechtelijke/" TargetMode="External"/><Relationship Id="rId38" Type="http://schemas.openxmlformats.org/officeDocument/2006/relationships/hyperlink" Target="https://www.reddit.com/r/RMTK/comments/ghu0dd/m0182_motie_van_wantrouwen_jegens_de_minister_van/" TargetMode="External"/><Relationship Id="rId20" Type="http://schemas.openxmlformats.org/officeDocument/2006/relationships/hyperlink" Target="https://www.reddit.com/r/RMTK/comments/g5eso7/m0164_motie_tot_meer_aandacht_voor_de_nederlandse/" TargetMode="External"/><Relationship Id="rId22" Type="http://schemas.openxmlformats.org/officeDocument/2006/relationships/hyperlink" Target="https://www.reddit.com/r/RMTK/comments/i3i27e" TargetMode="External"/><Relationship Id="rId21" Type="http://schemas.openxmlformats.org/officeDocument/2006/relationships/hyperlink" Target="https://www.reddit.com/r/RMTK/comments/g5wgvo/m0165_motie_tot_het_goedkoper_maken_van/" TargetMode="External"/><Relationship Id="rId24" Type="http://schemas.openxmlformats.org/officeDocument/2006/relationships/hyperlink" Target="https://www.reddit.com/r/RMTK/comments/g7t5gv/m0167_motie_tot_verbieden_participatieverklaring/" TargetMode="External"/><Relationship Id="rId23" Type="http://schemas.openxmlformats.org/officeDocument/2006/relationships/hyperlink" Target="https://www.reddit.com/r/RMTK/comments/g6m9by/m0166_motie_tot_verhoging_defensie_budget/" TargetMode="External"/><Relationship Id="rId26" Type="http://schemas.openxmlformats.org/officeDocument/2006/relationships/hyperlink" Target="https://www.reddit.com/r/RMTK/comments/i3i27e" TargetMode="External"/><Relationship Id="rId25" Type="http://schemas.openxmlformats.org/officeDocument/2006/relationships/hyperlink" Target="https://www.reddit.com/r/RMTK/comments/ga90n1/m0168_zoeken_van_draagvlak_voor_de_participatie/" TargetMode="External"/><Relationship Id="rId28" Type="http://schemas.openxmlformats.org/officeDocument/2006/relationships/hyperlink" Target="https://www.reddit.com/r/RMTK/comments/i3i27e" TargetMode="External"/><Relationship Id="rId27" Type="http://schemas.openxmlformats.org/officeDocument/2006/relationships/hyperlink" Target="https://www.reddit.com/r/RMTK/comments/gav8k0/m0169_motie_tot_aanschaf_betere_wapens_voor_het/" TargetMode="External"/><Relationship Id="rId29" Type="http://schemas.openxmlformats.org/officeDocument/2006/relationships/hyperlink" Target="https://www.reddit.com/r/RMTK/comments/hj83fw/w0110_wet_tot_oprichting_nieuwe_kernreactor/" TargetMode="External"/><Relationship Id="rId95" Type="http://schemas.openxmlformats.org/officeDocument/2006/relationships/hyperlink" Target="https://www.reddit.com/r/RMTK/comments/i3i27e" TargetMode="External"/><Relationship Id="rId94" Type="http://schemas.openxmlformats.org/officeDocument/2006/relationships/hyperlink" Target="https://reddit.com/r/RMTK/comments/hmrrak" TargetMode="External"/><Relationship Id="rId97" Type="http://schemas.openxmlformats.org/officeDocument/2006/relationships/hyperlink" Target="https://www.reddit.com/r/RMTK/comments/i3i27e" TargetMode="External"/><Relationship Id="rId96" Type="http://schemas.openxmlformats.org/officeDocument/2006/relationships/hyperlink" Target="https://reddit.com/r/RMTK/comments/ho0htn" TargetMode="External"/><Relationship Id="rId11" Type="http://schemas.openxmlformats.org/officeDocument/2006/relationships/hyperlink" Target="https://www.reddit.com/r/RMTK/comments/fxhwmu/m0156_motie_tot_jaarlijkse_cursus/" TargetMode="External"/><Relationship Id="rId99" Type="http://schemas.openxmlformats.org/officeDocument/2006/relationships/hyperlink" Target="https://www.reddit.com/r/RMTK/comments/i3i27e" TargetMode="External"/><Relationship Id="rId10" Type="http://schemas.openxmlformats.org/officeDocument/2006/relationships/hyperlink" Target="https://www.reddit.com/r/RMTK/comments/fxpsug/m0155_motie_tot_hernoeming_flevoland_of_lelystad/" TargetMode="External"/><Relationship Id="rId98" Type="http://schemas.openxmlformats.org/officeDocument/2006/relationships/hyperlink" Target="https://reddit.com/r/RMTK/comments/hqcm8l" TargetMode="External"/><Relationship Id="rId13" Type="http://schemas.openxmlformats.org/officeDocument/2006/relationships/hyperlink" Target="https://www.reddit.com/r/RMTK/comments/g0km1j/m0158_motie_tot_versoepelen_rijwetgeving/" TargetMode="External"/><Relationship Id="rId12" Type="http://schemas.openxmlformats.org/officeDocument/2006/relationships/hyperlink" Target="https://www.reddit.com/r/RMTK/comments/fz3pfj/m0157_motie_tot_spelende_kinderen_blij_maken/" TargetMode="External"/><Relationship Id="rId91" Type="http://schemas.openxmlformats.org/officeDocument/2006/relationships/hyperlink" Target="https://www.reddit.com/r/RMTK/comments/i3i27e" TargetMode="External"/><Relationship Id="rId90" Type="http://schemas.openxmlformats.org/officeDocument/2006/relationships/hyperlink" Target="https://www.reddit.com/r/RMTK/comments/i3i27e" TargetMode="External"/><Relationship Id="rId93" Type="http://schemas.openxmlformats.org/officeDocument/2006/relationships/hyperlink" Target="https://www.reddit.com/r/RMTK/comments/i3i27e" TargetMode="External"/><Relationship Id="rId92" Type="http://schemas.openxmlformats.org/officeDocument/2006/relationships/hyperlink" Target="https://reddit.com/r/RMTK/comments/hm4wab" TargetMode="External"/><Relationship Id="rId115" Type="http://schemas.openxmlformats.org/officeDocument/2006/relationships/vmlDrawing" Target="../drawings/vmlDrawing1.vml"/><Relationship Id="rId15" Type="http://schemas.openxmlformats.org/officeDocument/2006/relationships/hyperlink" Target="https://www.reddit.com/r/RMTK/comments/g188dx/m0160_motie_tot_erkenning_van_taiwan_als/" TargetMode="External"/><Relationship Id="rId110" Type="http://schemas.openxmlformats.org/officeDocument/2006/relationships/hyperlink" Target="https://reddit.com/r/RMTK/comments/ifm6xl" TargetMode="External"/><Relationship Id="rId14" Type="http://schemas.openxmlformats.org/officeDocument/2006/relationships/hyperlink" Target="https://www.reddit.com/r/RMTK/comments/g188en/m0159_motie_tot_uitleg_politieke_stromingen_in/" TargetMode="External"/><Relationship Id="rId17" Type="http://schemas.openxmlformats.org/officeDocument/2006/relationships/hyperlink" Target="https://www.reddit.com/r/RMTK/comments/i3i27e" TargetMode="External"/><Relationship Id="rId16" Type="http://schemas.openxmlformats.org/officeDocument/2006/relationships/hyperlink" Target="https://www.reddit.com/r/RMTK/comments/g2gjt7/m0161_motie_tot_verhoging_salaris_militairen/" TargetMode="External"/><Relationship Id="rId19" Type="http://schemas.openxmlformats.org/officeDocument/2006/relationships/hyperlink" Target="https://www.reddit.com/r/RMTK/comments/fwm0ns/m0163_motie_van_afkeuring_jegens_de_voorzitter/" TargetMode="External"/><Relationship Id="rId114" Type="http://schemas.openxmlformats.org/officeDocument/2006/relationships/drawing" Target="../drawings/drawing5.xml"/><Relationship Id="rId18" Type="http://schemas.openxmlformats.org/officeDocument/2006/relationships/hyperlink" Target="https://www.reddit.com/r/RMTK/comments/g3pugv/m0162_motie_tot_actief_uitzetbeleid_illegalen/" TargetMode="External"/><Relationship Id="rId113" Type="http://schemas.openxmlformats.org/officeDocument/2006/relationships/hyperlink" Target="https://reddit.com/r/RMTK/comments/itslra" TargetMode="External"/><Relationship Id="rId112" Type="http://schemas.openxmlformats.org/officeDocument/2006/relationships/hyperlink" Target="https://reddit.com/r/RMTK/comments/iq0fnf" TargetMode="External"/><Relationship Id="rId111" Type="http://schemas.openxmlformats.org/officeDocument/2006/relationships/hyperlink" Target="https://reddit.com/r/RMTK/comments/ii4d8m" TargetMode="External"/><Relationship Id="rId84" Type="http://schemas.openxmlformats.org/officeDocument/2006/relationships/hyperlink" Target="https://www.reddit.com/r/RMTK/comments/hckdcr/m0212_motie_tot_terugdraaiing_wet_passend/" TargetMode="External"/><Relationship Id="rId83" Type="http://schemas.openxmlformats.org/officeDocument/2006/relationships/hyperlink" Target="https://www.reddit.com/r/RMTK/comments/i3i27e" TargetMode="External"/><Relationship Id="rId86" Type="http://schemas.openxmlformats.org/officeDocument/2006/relationships/hyperlink" Target="https://www.reddit.com/r/RMTK/comments/hc9suo/m0213_voorwaardelijke_motie_van_wantrouwen_jegens/" TargetMode="External"/><Relationship Id="rId85" Type="http://schemas.openxmlformats.org/officeDocument/2006/relationships/hyperlink" Target="https://www.reddit.com/r/RMTK/comments/i3i27e" TargetMode="External"/><Relationship Id="rId88" Type="http://schemas.openxmlformats.org/officeDocument/2006/relationships/hyperlink" Target="https://www.reddit.com/r/RMTK/comments/i3i27e" TargetMode="External"/><Relationship Id="rId150" Type="http://schemas.openxmlformats.org/officeDocument/2006/relationships/table" Target="../tables/table17.xml"/><Relationship Id="rId87" Type="http://schemas.openxmlformats.org/officeDocument/2006/relationships/hyperlink" Target="https://www.reddit.com/r/RMTK/comments/hdqade/m0214_motie_tot_onmiddelijke_verhoging/" TargetMode="External"/><Relationship Id="rId89" Type="http://schemas.openxmlformats.org/officeDocument/2006/relationships/hyperlink" Target="https://www.reddit.com/r/RMTK/comments/he1tfe/m0215_motie_tot_hogere_uitkeringen_voor_sociaal/" TargetMode="External"/><Relationship Id="rId80" Type="http://schemas.openxmlformats.org/officeDocument/2006/relationships/hyperlink" Target="https://www.reddit.com/r/RMTK/comments/hd54xz/m0210_motie_tot_nauwere_militaire_samenwerking/" TargetMode="External"/><Relationship Id="rId82" Type="http://schemas.openxmlformats.org/officeDocument/2006/relationships/hyperlink" Target="https://www.reddit.com/r/RMTK/comments/h0cqjm/m0211_motie_tot_maatregelen_tegen_de_chinese/" TargetMode="External"/><Relationship Id="rId81" Type="http://schemas.openxmlformats.org/officeDocument/2006/relationships/hyperlink" Target="https://www.reddit.com/r/RMTK/comments/i3i27e" TargetMode="External"/><Relationship Id="rId1" Type="http://schemas.openxmlformats.org/officeDocument/2006/relationships/comments" Target="../comments1.xml"/><Relationship Id="rId2" Type="http://schemas.openxmlformats.org/officeDocument/2006/relationships/hyperlink" Target="https://www.reddit.com/r/RMTK/comments/ftq0uh" TargetMode="External"/><Relationship Id="rId3" Type="http://schemas.openxmlformats.org/officeDocument/2006/relationships/hyperlink" Target="https://www.reddit.com/r/RMTK/comments/ftq0uh" TargetMode="External"/><Relationship Id="rId149" Type="http://schemas.openxmlformats.org/officeDocument/2006/relationships/table" Target="../tables/table16.xml"/><Relationship Id="rId4" Type="http://schemas.openxmlformats.org/officeDocument/2006/relationships/hyperlink" Target="https://www.reddit.com/r/RMTK/comments/gp6ehs/w0098_wet_bescherming_culturele_evenementen/" TargetMode="External"/><Relationship Id="rId148" Type="http://schemas.openxmlformats.org/officeDocument/2006/relationships/table" Target="../tables/table15.xml"/><Relationship Id="rId9" Type="http://schemas.openxmlformats.org/officeDocument/2006/relationships/hyperlink" Target="https://www.reddit.com/r/RMTK/comments/fwa1h8/m0154_motie_tot_regeling_overheidszaken_via_email/" TargetMode="External"/><Relationship Id="rId143" Type="http://schemas.openxmlformats.org/officeDocument/2006/relationships/table" Target="../tables/table10.xml"/><Relationship Id="rId142" Type="http://schemas.openxmlformats.org/officeDocument/2006/relationships/table" Target="../tables/table9.xml"/><Relationship Id="rId141" Type="http://schemas.openxmlformats.org/officeDocument/2006/relationships/table" Target="../tables/table8.xml"/><Relationship Id="rId140" Type="http://schemas.openxmlformats.org/officeDocument/2006/relationships/table" Target="../tables/table7.xml"/><Relationship Id="rId5" Type="http://schemas.openxmlformats.org/officeDocument/2006/relationships/hyperlink" Target="https://www.reddit.com/r/RMTK/comments/fu5pcf/m0150_motie_tot_geven_van_nederlanderschap_aan/" TargetMode="External"/><Relationship Id="rId147" Type="http://schemas.openxmlformats.org/officeDocument/2006/relationships/table" Target="../tables/table14.xml"/><Relationship Id="rId6" Type="http://schemas.openxmlformats.org/officeDocument/2006/relationships/hyperlink" Target="https://www.reddit.com/r/RMTK/comments/fvob7w/m0151_motie_tot_oplossen_liquiditeitsprobleem_ten/" TargetMode="External"/><Relationship Id="rId146" Type="http://schemas.openxmlformats.org/officeDocument/2006/relationships/table" Target="../tables/table13.xml"/><Relationship Id="rId7" Type="http://schemas.openxmlformats.org/officeDocument/2006/relationships/hyperlink" Target="https://www.reddit.com/r/RMTK/comments/fvw34y/m0152_motie_tot_regeling_overheidszaken_via/" TargetMode="External"/><Relationship Id="rId145" Type="http://schemas.openxmlformats.org/officeDocument/2006/relationships/table" Target="../tables/table12.xml"/><Relationship Id="rId8" Type="http://schemas.openxmlformats.org/officeDocument/2006/relationships/hyperlink" Target="https://www.reddit.com/r/RMTK/comments/fx3ttl/m0153_motie_tot_regeling_overheidszaken_via_papier/" TargetMode="External"/><Relationship Id="rId144" Type="http://schemas.openxmlformats.org/officeDocument/2006/relationships/table" Target="../tables/table11.xml"/><Relationship Id="rId73" Type="http://schemas.openxmlformats.org/officeDocument/2006/relationships/hyperlink" Target="https://www.reddit.com/r/RMTK/comments/i3i27e" TargetMode="External"/><Relationship Id="rId72" Type="http://schemas.openxmlformats.org/officeDocument/2006/relationships/hyperlink" Target="https://www.reddit.com/r/RMTK/comments/gxxf9q/m0205_motie_tot_het_ondernemen_van_actie_om_de/" TargetMode="External"/><Relationship Id="rId75" Type="http://schemas.openxmlformats.org/officeDocument/2006/relationships/hyperlink" Target="https://www.reddit.com/r/RMTK/comments/h08mll/m0207_motie_tot_nauwere_samenwerking_met_nietnavo/" TargetMode="External"/><Relationship Id="rId74" Type="http://schemas.openxmlformats.org/officeDocument/2006/relationships/hyperlink" Target="https://www.reddit.com/r/RMTK/comments/gydys8/m0206_motie_voor_het_beperken_van_klimaatschade/" TargetMode="External"/><Relationship Id="rId77" Type="http://schemas.openxmlformats.org/officeDocument/2006/relationships/hyperlink" Target="https://www.reddit.com/r/RMTK/comments/h8rtya/m0208_motie_tot_het_oprichten_van_een_concert_of/" TargetMode="External"/><Relationship Id="rId76" Type="http://schemas.openxmlformats.org/officeDocument/2006/relationships/hyperlink" Target="https://www.reddit.com/r/RMTK/comments/i3i27e" TargetMode="External"/><Relationship Id="rId79" Type="http://schemas.openxmlformats.org/officeDocument/2006/relationships/hyperlink" Target="https://www.reddit.com/r/RMTK/comments/hbmtfw/m0209_motie_tot_het_tegengaan_van_de_aantasting/" TargetMode="External"/><Relationship Id="rId78" Type="http://schemas.openxmlformats.org/officeDocument/2006/relationships/hyperlink" Target="https://www.reddit.com/r/RMTK/comments/i3i27e" TargetMode="External"/><Relationship Id="rId71" Type="http://schemas.openxmlformats.org/officeDocument/2006/relationships/hyperlink" Target="https://www.reddit.com/r/RMTK/comments/gr6gm4/m0204_motie_tot_het_onthouden_van_wapenembargos/" TargetMode="External"/><Relationship Id="rId70" Type="http://schemas.openxmlformats.org/officeDocument/2006/relationships/hyperlink" Target="https://www.reddit.com/r/RMTK/comments/gx2jk2/m0203_motie_tot_weghalen_van_de_discretionaire/" TargetMode="External"/><Relationship Id="rId139" Type="http://schemas.openxmlformats.org/officeDocument/2006/relationships/table" Target="../tables/table6.xml"/><Relationship Id="rId138" Type="http://schemas.openxmlformats.org/officeDocument/2006/relationships/table" Target="../tables/table5.xml"/><Relationship Id="rId137" Type="http://schemas.openxmlformats.org/officeDocument/2006/relationships/table" Target="../tables/table4.xml"/><Relationship Id="rId136" Type="http://schemas.openxmlformats.org/officeDocument/2006/relationships/table" Target="../tables/table3.xml"/><Relationship Id="rId135" Type="http://schemas.openxmlformats.org/officeDocument/2006/relationships/table" Target="../tables/table2.xml"/><Relationship Id="rId134" Type="http://schemas.openxmlformats.org/officeDocument/2006/relationships/table" Target="../tables/table1.xml"/><Relationship Id="rId62" Type="http://schemas.openxmlformats.org/officeDocument/2006/relationships/hyperlink" Target="https://www.reddit.com/r/RMTK/comments/gxsjbo/m0199_motie_aangaande_het_verzoek_van_de_griekse/" TargetMode="External"/><Relationship Id="rId61" Type="http://schemas.openxmlformats.org/officeDocument/2006/relationships/hyperlink" Target="https://www.reddit.com/r/RMTK/comments/gvvl68/m0198_motie_tot_cre%C3%ABren_zelfbewoningsplicht/" TargetMode="External"/><Relationship Id="rId64" Type="http://schemas.openxmlformats.org/officeDocument/2006/relationships/hyperlink" Target="https://www.reddit.com/r/RMTK/comments/gzkxj8/m0200_motie_tot_opschorting_export_van_plastic/" TargetMode="External"/><Relationship Id="rId63" Type="http://schemas.openxmlformats.org/officeDocument/2006/relationships/hyperlink" Target="https://www.reddit.com/r/RMTK/comments/i3i27e" TargetMode="External"/><Relationship Id="rId66" Type="http://schemas.openxmlformats.org/officeDocument/2006/relationships/hyperlink" Target="https://www.reddit.com/r/RMTK/comments/h85hkh/m0201_motie_tot_een_verkoopverbod_op/" TargetMode="External"/><Relationship Id="rId65" Type="http://schemas.openxmlformats.org/officeDocument/2006/relationships/hyperlink" Target="https://www.reddit.com/r/RMTK/comments/i3i27e" TargetMode="External"/><Relationship Id="rId68" Type="http://schemas.openxmlformats.org/officeDocument/2006/relationships/hyperlink" Target="https://www.reddit.com/r/RMTK/comments/ha1tpn/m0202_motie_tot_intensivering_aanleg/" TargetMode="External"/><Relationship Id="rId67" Type="http://schemas.openxmlformats.org/officeDocument/2006/relationships/hyperlink" Target="https://www.reddit.com/r/RMTK/comments/i3i27e" TargetMode="External"/><Relationship Id="rId60" Type="http://schemas.openxmlformats.org/officeDocument/2006/relationships/hyperlink" Target="https://www.reddit.com/r/RMTK/comments/gq93eq/m0197_motie_tot_raadgevend_referendum_aangaande/" TargetMode="External"/><Relationship Id="rId69" Type="http://schemas.openxmlformats.org/officeDocument/2006/relationships/hyperlink" Target="https://www.reddit.com/r/RMTK/comments/i3i27e" TargetMode="External"/><Relationship Id="rId51" Type="http://schemas.openxmlformats.org/officeDocument/2006/relationships/hyperlink" Target="https://www.reddit.com/r/RMTK/comments/gvrxmv/m0192_motie_tot_aanpassing_van_het_vuurwerkbesluit/" TargetMode="External"/><Relationship Id="rId50" Type="http://schemas.openxmlformats.org/officeDocument/2006/relationships/hyperlink" Target="https://www.reddit.com/r/RMTK/comments/gv5b4h/m0191_motie_tot_erkenning_bengaalse_genocide/" TargetMode="External"/><Relationship Id="rId53" Type="http://schemas.openxmlformats.org/officeDocument/2006/relationships/hyperlink" Target="https://www.reddit.com/r/RMTK/comments/gwfbv8/m0193_motie_tot_verplichten_van_datacenters_te/" TargetMode="External"/><Relationship Id="rId52" Type="http://schemas.openxmlformats.org/officeDocument/2006/relationships/hyperlink" Target="https://www.reddit.com/r/RMTK/comments/i3i27e" TargetMode="External"/><Relationship Id="rId55" Type="http://schemas.openxmlformats.org/officeDocument/2006/relationships/hyperlink" Target="https://www.reddit.com/r/RMTK/comments/gpdn75/m0194_motie_tot_uitgebreide_bestrijding/" TargetMode="External"/><Relationship Id="rId54" Type="http://schemas.openxmlformats.org/officeDocument/2006/relationships/hyperlink" Target="https://www.reddit.com/r/RMTK/comments/i3i27e" TargetMode="External"/><Relationship Id="rId57" Type="http://schemas.openxmlformats.org/officeDocument/2006/relationships/hyperlink" Target="https://www.reddit.com/r/RMTK/comments/gtcje1/m0195_motie_tot_een_verbod_op_homogenezing/" TargetMode="External"/><Relationship Id="rId56" Type="http://schemas.openxmlformats.org/officeDocument/2006/relationships/hyperlink" Target="https://www.reddit.com/r/RMTK/comments/gsum5z/ks0029_kamerbrief_aangaande_het/" TargetMode="External"/><Relationship Id="rId59" Type="http://schemas.openxmlformats.org/officeDocument/2006/relationships/hyperlink" Target="https://www.reddit.com/r/RMTK/comments/gtx72s/m0196_motie_voor_het_beperken_van_klimaatschade/" TargetMode="External"/><Relationship Id="rId58" Type="http://schemas.openxmlformats.org/officeDocument/2006/relationships/hyperlink" Target="https://www.reddit.com/r/RMTK/comments/i3i27e" TargetMode="External"/><Relationship Id="rId151" Type="http://schemas.openxmlformats.org/officeDocument/2006/relationships/table" Target="../tables/table18.xml"/></Relationships>
</file>

<file path=xl/worksheets/_rels/sheet6.xml.rels><?xml version="1.0" encoding="UTF-8" standalone="yes"?><Relationships xmlns="http://schemas.openxmlformats.org/package/2006/relationships"><Relationship Id="rId40" Type="http://schemas.openxmlformats.org/officeDocument/2006/relationships/hyperlink" Target="https://www.reddit.com/r/RMTK/comments/hwzqpe/" TargetMode="External"/><Relationship Id="rId42" Type="http://schemas.openxmlformats.org/officeDocument/2006/relationships/hyperlink" Target="https://reddit.com/r/RMTK/comments/hvr3js" TargetMode="External"/><Relationship Id="rId41" Type="http://schemas.openxmlformats.org/officeDocument/2006/relationships/hyperlink" Target="https://reddit.com/r/RMTK/comments/hv4qw4" TargetMode="External"/><Relationship Id="rId44" Type="http://schemas.openxmlformats.org/officeDocument/2006/relationships/hyperlink" Target="https://reddit.com/r/RMTK/comments/hypi3e" TargetMode="External"/><Relationship Id="rId43" Type="http://schemas.openxmlformats.org/officeDocument/2006/relationships/hyperlink" Target="https://reddit.com/r/RMTK/comments/hwd0lv" TargetMode="External"/><Relationship Id="rId46" Type="http://schemas.openxmlformats.org/officeDocument/2006/relationships/hyperlink" Target="https://reddit.com/r/RMTK/comments/hzbyx6" TargetMode="External"/><Relationship Id="rId45" Type="http://schemas.openxmlformats.org/officeDocument/2006/relationships/hyperlink" Target="https://www.reddit.com/r/RMTK/comments/hzdmjq/" TargetMode="External"/><Relationship Id="rId48" Type="http://schemas.openxmlformats.org/officeDocument/2006/relationships/hyperlink" Target="https://reddit.com/r/RMTK/comments/i0jew5" TargetMode="External"/><Relationship Id="rId47" Type="http://schemas.openxmlformats.org/officeDocument/2006/relationships/hyperlink" Target="https://www.reddit.com/r/RMTK/comments/i0pg7a" TargetMode="External"/><Relationship Id="rId49" Type="http://schemas.openxmlformats.org/officeDocument/2006/relationships/hyperlink" Target="https://reddit.com/r/RMTK/comments/i2ucsj" TargetMode="External"/><Relationship Id="rId31" Type="http://schemas.openxmlformats.org/officeDocument/2006/relationships/hyperlink" Target="https://www.reddit.com/r/RMTK/comments/h0x5ti/w105_wetswijziging_waadi_2020/" TargetMode="External"/><Relationship Id="rId30" Type="http://schemas.openxmlformats.org/officeDocument/2006/relationships/hyperlink" Target="https://www.reddit.com/r/RMTK/comments/gzosle/w0104_implementatiewet_europese_afspraken_omtrent/" TargetMode="External"/><Relationship Id="rId33" Type="http://schemas.openxmlformats.org/officeDocument/2006/relationships/hyperlink" Target="https://www.reddit.com/r/RMTK/comments/hfk4zw/w0107_wet_bestuurlijk_verbieden_ondermijnende/" TargetMode="External"/><Relationship Id="rId32" Type="http://schemas.openxmlformats.org/officeDocument/2006/relationships/hyperlink" Target="https://www.reddit.com/r/RMTK/comments/hez1cm/w0106_wet_afschaffing_rekentoets_vo/" TargetMode="External"/><Relationship Id="rId35" Type="http://schemas.openxmlformats.org/officeDocument/2006/relationships/hyperlink" Target="https://www.reddit.com/r/RMTK/comments/hhckd2/w0109_wijzinging_van_het_wetboek_van_strafrecht/" TargetMode="External"/><Relationship Id="rId34" Type="http://schemas.openxmlformats.org/officeDocument/2006/relationships/hyperlink" Target="https://www.reddit.com/r/RMTK/comments/hgh3pe/w0108_wet_verbeteren_huurbescherming_voor/" TargetMode="External"/><Relationship Id="rId37" Type="http://schemas.openxmlformats.org/officeDocument/2006/relationships/hyperlink" Target="https://www.reddit.com/r/RMTK/comments/hjuz32/w0111_wet_administratieve_detentie/" TargetMode="External"/><Relationship Id="rId36" Type="http://schemas.openxmlformats.org/officeDocument/2006/relationships/hyperlink" Target="https://www.reddit.com/r/RMTK/comments/hj83fw/w0110_wet_tot_oprichting_nieuwe_kernreactor/" TargetMode="External"/><Relationship Id="rId39" Type="http://schemas.openxmlformats.org/officeDocument/2006/relationships/hyperlink" Target="https://reddit.com/r/RMTK/comments/huioh6" TargetMode="External"/><Relationship Id="rId38" Type="http://schemas.openxmlformats.org/officeDocument/2006/relationships/hyperlink" Target="https://reddit.com/r/RMTK/comments/hned9g" TargetMode="External"/><Relationship Id="rId20" Type="http://schemas.openxmlformats.org/officeDocument/2006/relationships/hyperlink" Target="https://www.reddit.com/r/RMTK/comments/gncyo3/w0096_wet_meerdere_mogelijkheden_voorzitterschap/" TargetMode="External"/><Relationship Id="rId22" Type="http://schemas.openxmlformats.org/officeDocument/2006/relationships/hyperlink" Target="https://www.reddit.com/r/RMTK/comments/gpyeum/" TargetMode="External"/><Relationship Id="rId21" Type="http://schemas.openxmlformats.org/officeDocument/2006/relationships/hyperlink" Target="https://www.reddit.com/r/RMTK/comments/gnyh8p/w0097_wet_tot_invoering_dagboetes/" TargetMode="External"/><Relationship Id="rId24" Type="http://schemas.openxmlformats.org/officeDocument/2006/relationships/hyperlink" Target="https://www.reddit.com/r/RMTK/comments/grhml2/w0099_wetswijziging_mediawet/" TargetMode="External"/><Relationship Id="rId23" Type="http://schemas.openxmlformats.org/officeDocument/2006/relationships/hyperlink" Target="https://www.reddit.com/r/RMTK/comments/gp6ehs/w0098_wet_bescherming_culturele_evenementen/" TargetMode="External"/><Relationship Id="rId26" Type="http://schemas.openxmlformats.org/officeDocument/2006/relationships/hyperlink" Target="https://www.reddit.com/r/RMTK/comments/gu0n1s/w0101_wetsvoorstel_tot_oprichting_mata_hari_fonds/" TargetMode="External"/><Relationship Id="rId25" Type="http://schemas.openxmlformats.org/officeDocument/2006/relationships/hyperlink" Target="https://www.reddit.com/r/RMTK/comments/gum7nb/w0100s_spoedwet_ter_wijziging_van_de/" TargetMode="External"/><Relationship Id="rId28" Type="http://schemas.openxmlformats.org/officeDocument/2006/relationships/hyperlink" Target="https://www.reddit.com/r/RMTK/comments/gptqc5/w0103_goedkeuringswet_europees_verdrag_omtrent/" TargetMode="External"/><Relationship Id="rId27" Type="http://schemas.openxmlformats.org/officeDocument/2006/relationships/hyperlink" Target="https://www.reddit.com/r/RMTK/comments/gv8xjk/w0102_wet_openbreken_van_de_telecommunicatiemarkt/" TargetMode="External"/><Relationship Id="rId29" Type="http://schemas.openxmlformats.org/officeDocument/2006/relationships/hyperlink" Target="https://www.reddit.com/r/RMTK/comments/gum7nf/w0103a_amendement_tot_wijziging_van_w0103/" TargetMode="External"/><Relationship Id="rId11" Type="http://schemas.openxmlformats.org/officeDocument/2006/relationships/hyperlink" Target="https://www.reddit.com/r/RMTK/comments/g5aglx/w0086_wet_ter_verlenging_van_de_levensduur_van/" TargetMode="External"/><Relationship Id="rId10" Type="http://schemas.openxmlformats.org/officeDocument/2006/relationships/hyperlink" Target="https://www.reddit.com/r/RMTK/comments/g2bf4w/w0084_vlootwet_2020/" TargetMode="External"/><Relationship Id="rId13" Type="http://schemas.openxmlformats.org/officeDocument/2006/relationships/hyperlink" Target="https://www.reddit.com/r/RMTK/comments/g9mrib/w0089_wetswijziging_tot_correctie_van_de/" TargetMode="External"/><Relationship Id="rId12" Type="http://schemas.openxmlformats.org/officeDocument/2006/relationships/hyperlink" Target="https://www.reddit.com/r/RMTK/comments/g6i299/w0088_wetswijziging_tot_inkorting_aanpassing/" TargetMode="External"/><Relationship Id="rId91" Type="http://schemas.openxmlformats.org/officeDocument/2006/relationships/table" Target="../tables/table28.xml"/><Relationship Id="rId90" Type="http://schemas.openxmlformats.org/officeDocument/2006/relationships/table" Target="../tables/table27.xml"/><Relationship Id="rId93" Type="http://schemas.openxmlformats.org/officeDocument/2006/relationships/table" Target="../tables/table30.xml"/><Relationship Id="rId92" Type="http://schemas.openxmlformats.org/officeDocument/2006/relationships/table" Target="../tables/table29.xml"/><Relationship Id="rId15" Type="http://schemas.openxmlformats.org/officeDocument/2006/relationships/hyperlink" Target="https://www.reddit.com/r/RMTK/comments/gfssqx/w0091_wet_tot_afschaffing_legitieme_portie_in_het/" TargetMode="External"/><Relationship Id="rId14" Type="http://schemas.openxmlformats.org/officeDocument/2006/relationships/hyperlink" Target="https://www.reddit.com/r/RMTK/comments/gehwkg/w0090_wet_op_aanvullende_eisen_ictprojecten/" TargetMode="External"/><Relationship Id="rId17" Type="http://schemas.openxmlformats.org/officeDocument/2006/relationships/hyperlink" Target="https://www.reddit.com/r/RMTK/comments/ghp690/w0093_intrekkingswet_wet_op_de_vaste_boekenprijs/" TargetMode="External"/><Relationship Id="rId16" Type="http://schemas.openxmlformats.org/officeDocument/2006/relationships/hyperlink" Target="https://www.reddit.com/r/RMTK/comments/ggf1z2/w0092_wetswijziging_van_het_wetboek_van/" TargetMode="External"/><Relationship Id="rId19" Type="http://schemas.openxmlformats.org/officeDocument/2006/relationships/hyperlink" Target="https://www.reddit.com/r/RMTK/comments/gjnyww/w0095_wet_tot_invoering_planbatenbelasting/" TargetMode="External"/><Relationship Id="rId18" Type="http://schemas.openxmlformats.org/officeDocument/2006/relationships/hyperlink" Target="https://www.reddit.com/r/RMTK/comments/gicu96/w0094_wet_voor_afschaffing_dwangsomregeling_ter/" TargetMode="External"/><Relationship Id="rId84" Type="http://schemas.openxmlformats.org/officeDocument/2006/relationships/table" Target="../tables/table21.xml"/><Relationship Id="rId83" Type="http://schemas.openxmlformats.org/officeDocument/2006/relationships/table" Target="../tables/table20.xml"/><Relationship Id="rId86" Type="http://schemas.openxmlformats.org/officeDocument/2006/relationships/table" Target="../tables/table23.xml"/><Relationship Id="rId85" Type="http://schemas.openxmlformats.org/officeDocument/2006/relationships/table" Target="../tables/table22.xml"/><Relationship Id="rId88" Type="http://schemas.openxmlformats.org/officeDocument/2006/relationships/table" Target="../tables/table25.xml"/><Relationship Id="rId87" Type="http://schemas.openxmlformats.org/officeDocument/2006/relationships/table" Target="../tables/table24.xml"/><Relationship Id="rId89" Type="http://schemas.openxmlformats.org/officeDocument/2006/relationships/table" Target="../tables/table26.xml"/><Relationship Id="rId82" Type="http://schemas.openxmlformats.org/officeDocument/2006/relationships/table" Target="../tables/table19.xml"/><Relationship Id="rId1" Type="http://schemas.openxmlformats.org/officeDocument/2006/relationships/comments" Target="../comments2.xml"/><Relationship Id="rId2" Type="http://schemas.openxmlformats.org/officeDocument/2006/relationships/hyperlink" Target="https://www.reddit.com/r/RMTK/comments/frul6g/w0075_vaststelling_van_de_begrotingsstaat_van_het/" TargetMode="External"/><Relationship Id="rId3" Type="http://schemas.openxmlformats.org/officeDocument/2006/relationships/hyperlink" Target="https://www.reddit.com/r/RMTK/comments/fsgnao/w0076_vaststelling_van_de_begrotingsstaat_van_het/" TargetMode="External"/><Relationship Id="rId4" Type="http://schemas.openxmlformats.org/officeDocument/2006/relationships/hyperlink" Target="https://www.reddit.com/r/RMTK/comments/ft3no2/w0077_wet_tot_moratorium_gezichtsherkennende/" TargetMode="External"/><Relationship Id="rId9" Type="http://schemas.openxmlformats.org/officeDocument/2006/relationships/hyperlink" Target="https://www.reddit.com/r/RMTK/comments/g1mxke/w0083_wetswijziging_ter_afschaffing_automatisch/" TargetMode="External"/><Relationship Id="rId5" Type="http://schemas.openxmlformats.org/officeDocument/2006/relationships/hyperlink" Target="https://www.reddit.com/r/RMTK/comments/fur4rn/w0078_intrekkingswet_wet_op_de_identificatieplicht/" TargetMode="External"/><Relationship Id="rId6" Type="http://schemas.openxmlformats.org/officeDocument/2006/relationships/hyperlink" Target="https://www.reddit.com/r/RMTK/comments/fwhw8q/w0079_wet_om_de_accijns_op_tabak_houdende/" TargetMode="External"/><Relationship Id="rId7" Type="http://schemas.openxmlformats.org/officeDocument/2006/relationships/hyperlink" Target="https://www.reddit.com/r/RMTK/comments/fx3ttg/w0080_wetswijziging_ter_afschaffing_erfbelasting/" TargetMode="External"/><Relationship Id="rId8" Type="http://schemas.openxmlformats.org/officeDocument/2006/relationships/hyperlink" Target="https://www.reddit.com/r/RMTK/comments/g0dwea/w0081_wet_op_wijziging_middelbaar_onderwijs_tot/" TargetMode="External"/><Relationship Id="rId62" Type="http://schemas.openxmlformats.org/officeDocument/2006/relationships/hyperlink" Target="https://www.reddit.com/r/RMTK/comments/ikhimi/w0130_grondwetswijziging_tot_invoering_nap/" TargetMode="External"/><Relationship Id="rId61" Type="http://schemas.openxmlformats.org/officeDocument/2006/relationships/hyperlink" Target="https://www.reddit.com/r/RMTK/comments/io8ziy/w0129ii_amendement_van_het_wetsvoorstel_wet_ter/" TargetMode="External"/><Relationship Id="rId64" Type="http://schemas.openxmlformats.org/officeDocument/2006/relationships/hyperlink" Target="https://www.reddit.com/r/RMTK/comments/io4sh7/w0132_wet_ramp_triage/" TargetMode="External"/><Relationship Id="rId63" Type="http://schemas.openxmlformats.org/officeDocument/2006/relationships/hyperlink" Target="https://www.reddit.com/r/RMTK/comments/ilql8h/w0131_wetswijziging_tot_vaststelling/" TargetMode="External"/><Relationship Id="rId66" Type="http://schemas.openxmlformats.org/officeDocument/2006/relationships/hyperlink" Target="https://www.reddit.com/r/RMTK/comments/ipd38z/w0133_wet_ter_afschaffing_wettelijke_grond_inzet/" TargetMode="External"/><Relationship Id="rId65" Type="http://schemas.openxmlformats.org/officeDocument/2006/relationships/hyperlink" Target="https://www.reddit.com/r/RMTK/comments/iqnnfr/w0132i_amendement_op_voorstel_tot_ramp_triage_wet/" TargetMode="External"/><Relationship Id="rId68" Type="http://schemas.openxmlformats.org/officeDocument/2006/relationships/drawing" Target="../drawings/drawing6.xml"/><Relationship Id="rId67" Type="http://schemas.openxmlformats.org/officeDocument/2006/relationships/hyperlink" Target="https://www.reddit.com/r/RMTK/comments/ioqvti/w0134_wet_tot_collectivisering_tatasteel/" TargetMode="External"/><Relationship Id="rId60" Type="http://schemas.openxmlformats.org/officeDocument/2006/relationships/hyperlink" Target="https://www.reddit.com/r/RMTK/comments/io67hp/w0129i_amendement_van_het_wetsvoorstel_wet_ter/" TargetMode="External"/><Relationship Id="rId69" Type="http://schemas.openxmlformats.org/officeDocument/2006/relationships/vmlDrawing" Target="../drawings/vmlDrawing2.vml"/><Relationship Id="rId51" Type="http://schemas.openxmlformats.org/officeDocument/2006/relationships/hyperlink" Target="https://reddit.com/r/RMTK/comments/i7p1yp" TargetMode="External"/><Relationship Id="rId50" Type="http://schemas.openxmlformats.org/officeDocument/2006/relationships/hyperlink" Target="https://reddit.com/r/RMTK/comments/i8x6kl" TargetMode="External"/><Relationship Id="rId53" Type="http://schemas.openxmlformats.org/officeDocument/2006/relationships/hyperlink" Target="https://reddit.com/r/RMTK/comments/ibzov8" TargetMode="External"/><Relationship Id="rId52" Type="http://schemas.openxmlformats.org/officeDocument/2006/relationships/hyperlink" Target="https://reddit.com/r/RMTK/comments/i5b4d5" TargetMode="External"/><Relationship Id="rId55" Type="http://schemas.openxmlformats.org/officeDocument/2006/relationships/hyperlink" Target="https://www.reddit.com/r/RMTK/comments/ickt5u/w0125_wetswijziging_ter_verhoging_weerbaarheid/" TargetMode="External"/><Relationship Id="rId54" Type="http://schemas.openxmlformats.org/officeDocument/2006/relationships/hyperlink" Target="https://reddit.com/r/RMTK/comments/i8b10u" TargetMode="External"/><Relationship Id="rId57" Type="http://schemas.openxmlformats.org/officeDocument/2006/relationships/hyperlink" Target="https://reddit.com/r/RMTK/comments/ig98vn" TargetMode="External"/><Relationship Id="rId56" Type="http://schemas.openxmlformats.org/officeDocument/2006/relationships/hyperlink" Target="https://www.reddit.com/r/RMTK/comments/id7iyi/w0126_wetswijziging_tot_het_effici%C3%ABnter_delen_van/" TargetMode="External"/><Relationship Id="rId59" Type="http://schemas.openxmlformats.org/officeDocument/2006/relationships/hyperlink" Target="https://www.reddit.com/r/RMTK/comments/ijv8b3/w0129_wet_ter_afschaffing_regionale/" TargetMode="External"/><Relationship Id="rId58" Type="http://schemas.openxmlformats.org/officeDocument/2006/relationships/hyperlink" Target="https://reddit.com/r/RMTK/comments/igw52q" TargetMode="External"/></Relationships>
</file>

<file path=xl/worksheets/_rels/sheet7.xml.rels><?xml version="1.0" encoding="UTF-8" standalone="yes"?><Relationships xmlns="http://schemas.openxmlformats.org/package/2006/relationships"><Relationship Id="rId20" Type="http://schemas.openxmlformats.org/officeDocument/2006/relationships/drawing" Target="../drawings/drawing7.xml"/><Relationship Id="rId21" Type="http://schemas.openxmlformats.org/officeDocument/2006/relationships/vmlDrawing" Target="../drawings/vmlDrawing3.vml"/><Relationship Id="rId11" Type="http://schemas.openxmlformats.org/officeDocument/2006/relationships/hyperlink" Target="https://reddit.com/r/RMTK/comments/i0hhe4" TargetMode="External"/><Relationship Id="rId10" Type="http://schemas.openxmlformats.org/officeDocument/2006/relationships/hyperlink" Target="https://www.reddit.com/r/RMTK/comments/hz9yhw/" TargetMode="External"/><Relationship Id="rId13" Type="http://schemas.openxmlformats.org/officeDocument/2006/relationships/hyperlink" Target="https://reddit.com/r/RMTK/comments/i7qjig" TargetMode="External"/><Relationship Id="rId12" Type="http://schemas.openxmlformats.org/officeDocument/2006/relationships/hyperlink" Target="https://reddit.com/r/RMTK/comments/i3i27e" TargetMode="External"/><Relationship Id="rId15" Type="http://schemas.openxmlformats.org/officeDocument/2006/relationships/hyperlink" Target="https://reddit.com/r/RMTK/comments/igat9n" TargetMode="External"/><Relationship Id="rId14" Type="http://schemas.openxmlformats.org/officeDocument/2006/relationships/hyperlink" Target="https://reddit.com/r/RMTK/comments/i8yn3r" TargetMode="External"/><Relationship Id="rId17" Type="http://schemas.openxmlformats.org/officeDocument/2006/relationships/hyperlink" Target="https://www.reddit.com/r/RMTK/comments/imd8dw/ks0068_nota_aangaande_verantwoordingsdag/" TargetMode="External"/><Relationship Id="rId16" Type="http://schemas.openxmlformats.org/officeDocument/2006/relationships/hyperlink" Target="https://www.reddit.com/r/RMTK/comments/ikiybs/ks0067_kamerbrief_ter_reactie_op_aangenomen/" TargetMode="External"/><Relationship Id="rId19" Type="http://schemas.openxmlformats.org/officeDocument/2006/relationships/hyperlink" Target="https://reddit.com/r/RMTK/comments/it7cx2" TargetMode="External"/><Relationship Id="rId18" Type="http://schemas.openxmlformats.org/officeDocument/2006/relationships/hyperlink" Target="https://reddit.com/r/RMTK/comments/iosa8m" TargetMode="External"/><Relationship Id="rId1" Type="http://schemas.openxmlformats.org/officeDocument/2006/relationships/comments" Target="../comments3.xml"/><Relationship Id="rId2" Type="http://schemas.openxmlformats.org/officeDocument/2006/relationships/hyperlink" Target="https://www.reddit.com/r/RMTK/comments/g4scry/ks0053_kamerbrief_naar_aanleiding_van_motie_0053/" TargetMode="External"/><Relationship Id="rId3" Type="http://schemas.openxmlformats.org/officeDocument/2006/relationships/hyperlink" Target="https://www.reddit.com/r/RMTK/comments/g77yyl/ks0054_kamerbrief_aangaande_uitvoering_van/" TargetMode="External"/><Relationship Id="rId4" Type="http://schemas.openxmlformats.org/officeDocument/2006/relationships/hyperlink" Target="https://www.reddit.com/r/RMTK/comments/gmmcw9/ks0055_kamerbrief_aangaande_de_gesloten/" TargetMode="External"/><Relationship Id="rId9" Type="http://schemas.openxmlformats.org/officeDocument/2006/relationships/hyperlink" Target="https://www.reddit.com/r/RMTK/comments/gz0xzu/ks0032_kamerbrief_aangaande_infomatie_besluit/" TargetMode="External"/><Relationship Id="rId5" Type="http://schemas.openxmlformats.org/officeDocument/2006/relationships/hyperlink" Target="https://www.reddit.com/r/RMTK/comments/gr6n12/ks0028_kamerbrief_aangaande_aangenomen_motie/" TargetMode="External"/><Relationship Id="rId6" Type="http://schemas.openxmlformats.org/officeDocument/2006/relationships/hyperlink" Target="https://www.reddit.com/r/RMTK/comments/gsum5z/ks0029_kamerbrief_aangaande_het/" TargetMode="External"/><Relationship Id="rId7" Type="http://schemas.openxmlformats.org/officeDocument/2006/relationships/hyperlink" Target="https://www.reddit.com/r/RMTK/comments/gwj60j/ks0030_kamerbrief_aangaande_peilingen_onder/" TargetMode="External"/><Relationship Id="rId8" Type="http://schemas.openxmlformats.org/officeDocument/2006/relationships/hyperlink" Target="https://www.reddit.com/r/RMTK/comments/gwfi0x/"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s://www.reddit.com/r/RMTK/comments/g2wxl7/kb0025_koninklijk_besluit_ter_verlening/" TargetMode="External"/><Relationship Id="rId2" Type="http://schemas.openxmlformats.org/officeDocument/2006/relationships/hyperlink" Target="https://www.reddit.com/r/RMTK/comments/g8ynvj/kb0026_verlengingsbesluit_tijdelijk_bureau/" TargetMode="External"/><Relationship Id="rId3" Type="http://schemas.openxmlformats.org/officeDocument/2006/relationships/hyperlink" Target="https://www.reddit.com/r/RMTK/comments/ils24c/kb0028_besluit_ter_wijziging_van_het/" TargetMode="External"/><Relationship Id="rId4" Type="http://schemas.openxmlformats.org/officeDocument/2006/relationships/hyperlink" Target="https://www.reddit.com/r/RMTK/comments/iq1z4d/kb0029_wijziging_regeling_beheer_verpakkingen_2020/" TargetMode="External"/><Relationship Id="rId5"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1" Type="http://schemas.openxmlformats.org/officeDocument/2006/relationships/hyperlink" Target="https://reddit.com/r/RMTK/comments/idtyef" TargetMode="External"/><Relationship Id="rId10" Type="http://schemas.openxmlformats.org/officeDocument/2006/relationships/hyperlink" Target="https://reddit.com/r/RMTK/comments/ihic4n" TargetMode="External"/><Relationship Id="rId13" Type="http://schemas.openxmlformats.org/officeDocument/2006/relationships/hyperlink" Target="https://www.reddit.com/r/RMTK/comments/imd8dw/ks0068_nota_aangaande_verantwoordingsdag/" TargetMode="External"/><Relationship Id="rId12" Type="http://schemas.openxmlformats.org/officeDocument/2006/relationships/hyperlink" Target="https://reddit.com/r/RMTK/comments/iva2lp" TargetMode="External"/><Relationship Id="rId14" Type="http://schemas.openxmlformats.org/officeDocument/2006/relationships/drawing" Target="../drawings/drawing9.xml"/><Relationship Id="rId1" Type="http://schemas.openxmlformats.org/officeDocument/2006/relationships/hyperlink" Target="https://www.reddit.com/r/RMTK/comments/gp8eua/kv0002_kamervragen_over_aanpak_van/" TargetMode="External"/><Relationship Id="rId2" Type="http://schemas.openxmlformats.org/officeDocument/2006/relationships/hyperlink" Target="https://www.reddit.com/r/RMTK/comments/gwfi0x/" TargetMode="External"/><Relationship Id="rId3" Type="http://schemas.openxmlformats.org/officeDocument/2006/relationships/hyperlink" Target="https://www.reddit.com/r/RMTK/comments/gyaav8/db0034_debat_omtrent_institutioneel_racisme_en/" TargetMode="External"/><Relationship Id="rId4" Type="http://schemas.openxmlformats.org/officeDocument/2006/relationships/hyperlink" Target="https://reddit.com/r/RMTK/comments/homb8u" TargetMode="External"/><Relationship Id="rId9" Type="http://schemas.openxmlformats.org/officeDocument/2006/relationships/hyperlink" Target="https://www.reddit.com/r/RMTK/comments/i9j887" TargetMode="External"/><Relationship Id="rId5" Type="http://schemas.openxmlformats.org/officeDocument/2006/relationships/hyperlink" Target="https://reddit.com/r/RMTK/comments/hst1ze" TargetMode="External"/><Relationship Id="rId6" Type="http://schemas.openxmlformats.org/officeDocument/2006/relationships/hyperlink" Target="https://www.reddit.com/r/RMTK/comments/hwz2za/kv0006_kamervragen_over_werkwijze_belastingdienst/" TargetMode="External"/><Relationship Id="rId7" Type="http://schemas.openxmlformats.org/officeDocument/2006/relationships/hyperlink" Target="https://reddit.com/r/RMTK/comments/i14xx2" TargetMode="External"/><Relationship Id="rId8" Type="http://schemas.openxmlformats.org/officeDocument/2006/relationships/hyperlink" Target="https://reddit.com/r/RMTK/comments/i3gks2"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434343"/>
    <outlinePr summaryBelow="0" summaryRight="0"/>
  </sheetPr>
  <sheetViews>
    <sheetView showGridLines="0" workbookViewId="0"/>
  </sheetViews>
  <sheetFormatPr customHeight="1" defaultColWidth="14.43" defaultRowHeight="15.75"/>
  <cols>
    <col customWidth="1" min="1" max="1" width="3.71"/>
    <col customWidth="1" min="2" max="2" width="22.86"/>
    <col customWidth="1" min="3" max="3" width="0.86"/>
    <col customWidth="1" min="4" max="4" width="13.29"/>
    <col customWidth="1" min="5" max="5" width="2.29"/>
    <col customWidth="1" min="6" max="6" width="11.57"/>
    <col customWidth="1" min="7" max="7" width="54.86"/>
    <col customWidth="1" min="8" max="8" width="11.71"/>
    <col customWidth="1" min="9" max="9" width="8.57"/>
    <col customWidth="1" min="10" max="10" width="0.86"/>
    <col customWidth="1" min="11" max="11" width="13.71"/>
    <col customWidth="1" min="12" max="12" width="2.29"/>
    <col customWidth="1" min="13" max="13" width="23.14"/>
    <col customWidth="1" min="14" max="14" width="2.29"/>
    <col customWidth="1" min="15" max="15" width="17.43"/>
    <col customWidth="1" min="16" max="16" width="9.57"/>
    <col customWidth="1" min="17" max="17" width="0.86"/>
    <col customWidth="1" min="18" max="18" width="29.57"/>
    <col customWidth="1" min="19" max="19" width="0.86"/>
    <col customWidth="1" min="20" max="20" width="24.86"/>
    <col customWidth="1" min="21" max="21" width="3.71"/>
  </cols>
  <sheetData>
    <row r="1" ht="6.0" customHeight="1">
      <c r="A1" s="1"/>
      <c r="B1" s="1"/>
      <c r="C1" s="1"/>
      <c r="D1" s="1"/>
      <c r="E1" s="1"/>
      <c r="F1" s="1"/>
      <c r="G1" s="1"/>
      <c r="H1" s="1"/>
      <c r="I1" s="1"/>
      <c r="J1" s="1"/>
      <c r="K1" s="1"/>
      <c r="L1" s="1"/>
      <c r="M1" s="1"/>
      <c r="N1" s="1"/>
      <c r="O1" s="1"/>
      <c r="P1" s="1"/>
      <c r="Q1" s="1"/>
      <c r="R1" s="1"/>
      <c r="S1" s="1"/>
      <c r="T1" s="1"/>
      <c r="U1" s="1"/>
    </row>
    <row r="2" ht="42.75" customHeight="1">
      <c r="A2" s="1"/>
      <c r="B2" s="2" t="s">
        <v>0</v>
      </c>
      <c r="C2" s="3"/>
      <c r="D2" s="3"/>
      <c r="E2" s="3"/>
      <c r="F2" s="3"/>
      <c r="G2" s="3"/>
      <c r="H2" s="3"/>
      <c r="I2" s="3"/>
      <c r="J2" s="3"/>
      <c r="K2" s="3"/>
      <c r="L2" s="3"/>
      <c r="M2" s="3"/>
      <c r="N2" s="3"/>
      <c r="O2" s="3"/>
      <c r="P2" s="3"/>
      <c r="Q2" s="3"/>
      <c r="R2" s="3"/>
      <c r="S2" s="3"/>
      <c r="T2" s="4"/>
      <c r="U2" s="5"/>
    </row>
    <row r="3" ht="65.25" customHeight="1">
      <c r="A3" s="1"/>
      <c r="B3" s="6" t="s">
        <v>1</v>
      </c>
      <c r="C3" s="7"/>
      <c r="D3" s="7"/>
      <c r="E3" s="7"/>
      <c r="F3" s="7"/>
      <c r="G3" s="7"/>
      <c r="H3" s="7"/>
      <c r="I3" s="7"/>
      <c r="J3" s="7"/>
      <c r="K3" s="7"/>
      <c r="L3" s="7"/>
      <c r="M3" s="7"/>
      <c r="N3" s="7"/>
      <c r="O3" s="7"/>
      <c r="P3" s="7"/>
      <c r="Q3" s="7"/>
      <c r="R3" s="7"/>
      <c r="S3" s="7"/>
      <c r="T3" s="8"/>
      <c r="U3" s="5"/>
    </row>
    <row r="4" ht="11.25" customHeight="1">
      <c r="A4" s="1"/>
      <c r="B4" s="9"/>
      <c r="C4" s="1"/>
      <c r="D4" s="9"/>
      <c r="E4" s="9"/>
      <c r="F4" s="9"/>
      <c r="G4" s="9"/>
      <c r="H4" s="9"/>
      <c r="I4" s="9"/>
      <c r="J4" s="10"/>
      <c r="K4" s="9"/>
      <c r="L4" s="11"/>
      <c r="M4" s="9"/>
      <c r="N4" s="1"/>
      <c r="O4" s="9"/>
      <c r="P4" s="9"/>
      <c r="Q4" s="10"/>
      <c r="R4" s="9"/>
      <c r="S4" s="10"/>
      <c r="T4" s="9"/>
      <c r="U4" s="1"/>
    </row>
    <row r="5" ht="28.5" customHeight="1">
      <c r="A5" s="12"/>
      <c r="B5" s="13" t="s">
        <v>2</v>
      </c>
      <c r="C5" s="14"/>
      <c r="D5" s="13" t="s">
        <v>3</v>
      </c>
      <c r="E5" s="11"/>
      <c r="F5" s="15" t="s">
        <v>4</v>
      </c>
      <c r="G5" s="16"/>
      <c r="H5" s="16"/>
      <c r="I5" s="17"/>
      <c r="J5" s="14"/>
      <c r="K5" s="18" t="s">
        <v>5</v>
      </c>
      <c r="L5" s="11"/>
      <c r="M5" s="13" t="s">
        <v>6</v>
      </c>
      <c r="N5" s="14"/>
      <c r="O5" s="19" t="s">
        <v>7</v>
      </c>
      <c r="P5" s="20"/>
      <c r="Q5" s="14"/>
      <c r="R5" s="13" t="s">
        <v>8</v>
      </c>
      <c r="S5" s="14"/>
      <c r="T5" s="18" t="s">
        <v>9</v>
      </c>
      <c r="U5" s="5"/>
    </row>
    <row r="6" ht="22.5" customHeight="1">
      <c r="A6" s="12"/>
      <c r="B6" s="21"/>
      <c r="C6" s="5"/>
      <c r="D6" s="21"/>
      <c r="E6" s="22"/>
      <c r="F6" s="23" t="s">
        <v>10</v>
      </c>
      <c r="G6" s="24" t="s">
        <v>11</v>
      </c>
      <c r="H6" s="24" t="s">
        <v>12</v>
      </c>
      <c r="I6" s="25" t="s">
        <v>13</v>
      </c>
      <c r="J6" s="14"/>
      <c r="K6" s="21"/>
      <c r="L6" s="11"/>
      <c r="M6" s="21"/>
      <c r="N6" s="14"/>
      <c r="O6" s="26"/>
      <c r="P6" s="27"/>
      <c r="Q6" s="14"/>
      <c r="R6" s="21"/>
      <c r="S6" s="14"/>
      <c r="T6" s="21"/>
      <c r="U6" s="5"/>
    </row>
    <row r="7" ht="6.0" customHeight="1">
      <c r="A7" s="1"/>
      <c r="B7" s="9"/>
      <c r="C7" s="1"/>
      <c r="D7" s="11"/>
      <c r="E7" s="11"/>
      <c r="F7" s="11"/>
      <c r="G7" s="11"/>
      <c r="H7" s="11"/>
      <c r="I7" s="11"/>
      <c r="J7" s="1"/>
      <c r="K7" s="11"/>
      <c r="L7" s="11"/>
      <c r="M7" s="11"/>
      <c r="N7" s="1"/>
      <c r="O7" s="9"/>
      <c r="P7" s="9"/>
      <c r="Q7" s="11"/>
      <c r="R7" s="9"/>
      <c r="S7" s="1"/>
      <c r="T7" s="9"/>
      <c r="U7" s="1"/>
    </row>
    <row r="8" ht="22.5" customHeight="1">
      <c r="A8" s="1"/>
      <c r="B8" s="28" t="str">
        <f>HYPERLINK("https://drive.google.com/file/d/12_G4lGKVoJi4J-biVe53e2NbFkUIwXwP/view","Programma GPA")</f>
        <v>Programma GPA</v>
      </c>
      <c r="C8" s="1"/>
      <c r="D8" s="29" t="str">
        <f>HYPERLINK("https://www.reddit.com/r/RMTK/wiki/grondwet#wiki_artikel_4_-_clausule_geen_partijstatuut","Statuut")</f>
        <v>Statuut</v>
      </c>
      <c r="E8" s="11"/>
      <c r="F8" s="30"/>
      <c r="G8" s="31" t="s">
        <v>14</v>
      </c>
      <c r="H8" s="32" t="s">
        <v>15</v>
      </c>
      <c r="I8" s="33">
        <v>7.0</v>
      </c>
      <c r="J8" s="14"/>
      <c r="K8" s="34" t="s">
        <v>16</v>
      </c>
      <c r="L8" s="22"/>
      <c r="M8" s="35" t="s">
        <v>17</v>
      </c>
      <c r="N8" s="5"/>
      <c r="O8" s="36" t="s">
        <v>18</v>
      </c>
      <c r="P8" s="20"/>
      <c r="Q8" s="14"/>
      <c r="R8" s="37" t="s">
        <v>19</v>
      </c>
      <c r="S8" s="14"/>
      <c r="T8" s="38" t="s">
        <v>20</v>
      </c>
      <c r="U8" s="5"/>
    </row>
    <row r="9" ht="6.0" customHeight="1">
      <c r="A9" s="1"/>
      <c r="B9" s="39"/>
      <c r="C9" s="1"/>
      <c r="D9" s="11"/>
      <c r="E9" s="11"/>
      <c r="F9" s="9"/>
      <c r="G9" s="40"/>
      <c r="H9" s="41"/>
      <c r="I9" s="41"/>
      <c r="J9" s="12"/>
      <c r="K9" s="42"/>
      <c r="L9" s="22"/>
      <c r="M9" s="42"/>
      <c r="N9" s="5"/>
      <c r="O9" s="43"/>
      <c r="P9" s="44"/>
      <c r="Q9" s="14"/>
      <c r="R9" s="45" t="s">
        <v>21</v>
      </c>
      <c r="S9" s="14"/>
      <c r="T9" s="46" t="s">
        <v>22</v>
      </c>
      <c r="U9" s="5"/>
    </row>
    <row r="10" ht="22.5" customHeight="1">
      <c r="A10" s="1"/>
      <c r="B10" s="28" t="str">
        <f>HYPERLINK("https://drive.google.com/file/d/1V7tQkrtaFy3OsTJx7TSij6I0I7_igFgV/view","Programma ACAB")</f>
        <v>Programma ACAB</v>
      </c>
      <c r="C10" s="1"/>
      <c r="D10" s="29" t="str">
        <f>HYPERLINK("https://www.reddit.com/r/RMTK/wiki/grondwet#wiki_artikel_4_-_clausule_geen_partijstatuut","Statuut")</f>
        <v>Statuut</v>
      </c>
      <c r="E10" s="11"/>
      <c r="F10" s="47"/>
      <c r="G10" s="48" t="s">
        <v>23</v>
      </c>
      <c r="H10" s="49" t="s">
        <v>24</v>
      </c>
      <c r="I10" s="50">
        <v>6.0</v>
      </c>
      <c r="J10" s="14"/>
      <c r="K10" s="51" t="s">
        <v>25</v>
      </c>
      <c r="L10" s="22"/>
      <c r="M10" s="38" t="s">
        <v>26</v>
      </c>
      <c r="N10" s="5"/>
      <c r="O10" s="52" t="s">
        <v>27</v>
      </c>
      <c r="P10" s="27"/>
      <c r="Q10" s="14"/>
      <c r="R10" s="53"/>
      <c r="S10" s="14"/>
      <c r="T10" s="53"/>
      <c r="U10" s="5"/>
    </row>
    <row r="11" ht="6.0" customHeight="1">
      <c r="A11" s="1"/>
      <c r="B11" s="54"/>
      <c r="C11" s="1"/>
      <c r="D11" s="11"/>
      <c r="E11" s="11"/>
      <c r="F11" s="9"/>
      <c r="G11" s="40"/>
      <c r="H11" s="41"/>
      <c r="I11" s="41"/>
      <c r="J11" s="12"/>
      <c r="K11" s="42"/>
      <c r="L11" s="22"/>
      <c r="M11" s="55" t="s">
        <v>28</v>
      </c>
      <c r="N11" s="5"/>
      <c r="O11" s="10"/>
      <c r="P11" s="10"/>
      <c r="Q11" s="14"/>
      <c r="R11" s="45" t="s">
        <v>29</v>
      </c>
      <c r="S11" s="12"/>
      <c r="T11" s="45" t="str">
        <f>HYPERLINK("https://docs.google.com/spreadsheets/d/1oACHtCK9LUfY8qoKgW6FdyzXnfTn2guThBVex-Mdzns/edit?usp=sharing","RMTK Financiën")</f>
        <v>RMTK Financiën</v>
      </c>
      <c r="U11" s="5"/>
    </row>
    <row r="12" ht="22.5" customHeight="1">
      <c r="A12" s="1"/>
      <c r="B12" s="29" t="str">
        <f>HYPERLINK("https://drive.google.com/file/d/18eWCqumjIkzXbb87MmX-F1k-nFZuDEoa/view","Programma SP")</f>
        <v>Programma SP</v>
      </c>
      <c r="C12" s="1"/>
      <c r="D12" s="29" t="str">
        <f>HYPERLINK("https://drive.google.com/file/d/1a2tQgD6sOqpSf5-tBeRId39EHnEfsktp/view","Statuut")</f>
        <v>Statuut</v>
      </c>
      <c r="E12" s="11"/>
      <c r="F12" s="56"/>
      <c r="G12" s="57" t="s">
        <v>30</v>
      </c>
      <c r="H12" s="58" t="s">
        <v>31</v>
      </c>
      <c r="I12" s="59">
        <v>5.0</v>
      </c>
      <c r="J12" s="14"/>
      <c r="K12" s="60" t="s">
        <v>32</v>
      </c>
      <c r="L12" s="22"/>
      <c r="M12" s="53"/>
      <c r="N12" s="5"/>
      <c r="O12" s="36" t="s">
        <v>33</v>
      </c>
      <c r="P12" s="20"/>
      <c r="Q12" s="14"/>
      <c r="R12" s="21"/>
      <c r="S12" s="14"/>
      <c r="T12" s="21"/>
      <c r="U12" s="5"/>
    </row>
    <row r="13" ht="6.0" customHeight="1">
      <c r="A13" s="1"/>
      <c r="B13" s="54"/>
      <c r="C13" s="1"/>
      <c r="D13" s="11"/>
      <c r="E13" s="11"/>
      <c r="F13" s="9"/>
      <c r="G13" s="40"/>
      <c r="H13" s="41"/>
      <c r="I13" s="41"/>
      <c r="J13" s="1"/>
      <c r="K13" s="42"/>
      <c r="L13" s="22"/>
      <c r="M13" s="61" t="s">
        <v>34</v>
      </c>
      <c r="N13" s="5"/>
      <c r="O13" s="43"/>
      <c r="P13" s="44"/>
      <c r="Q13" s="5"/>
      <c r="R13" s="9"/>
      <c r="S13" s="12"/>
      <c r="T13" s="9"/>
      <c r="U13" s="5"/>
    </row>
    <row r="14" ht="22.5" customHeight="1">
      <c r="A14" s="1"/>
      <c r="B14" s="28" t="str">
        <f>HYPERLINK("https://drive.google.com/file/d/1UikCkvEpfoW9KpC63e9q38roO0PaVDsY/view","Programma 1NL")</f>
        <v>Programma 1NL</v>
      </c>
      <c r="C14" s="11"/>
      <c r="D14" s="29" t="str">
        <f>HYPERLINK("https://www.reddit.com/r/RMTK/wiki/grondwet#wiki_artikel_4_-_clausule_geen_partijstatuut","Statuut")</f>
        <v>Statuut</v>
      </c>
      <c r="E14" s="11"/>
      <c r="F14" s="62"/>
      <c r="G14" s="63" t="s">
        <v>35</v>
      </c>
      <c r="H14" s="64" t="s">
        <v>36</v>
      </c>
      <c r="I14" s="65">
        <v>4.0</v>
      </c>
      <c r="J14" s="66"/>
      <c r="K14" s="67" t="s">
        <v>37</v>
      </c>
      <c r="L14" s="22"/>
      <c r="M14" s="53"/>
      <c r="N14" s="14"/>
      <c r="O14" s="68" t="s">
        <v>38</v>
      </c>
      <c r="P14" s="44"/>
      <c r="Q14" s="14"/>
      <c r="R14" s="69" t="s">
        <v>39</v>
      </c>
      <c r="S14" s="14"/>
      <c r="T14" s="70" t="s">
        <v>40</v>
      </c>
      <c r="U14" s="5"/>
    </row>
    <row r="15" ht="6.0" customHeight="1">
      <c r="A15" s="1"/>
      <c r="B15" s="1"/>
      <c r="C15" s="1"/>
      <c r="D15" s="11"/>
      <c r="E15" s="11"/>
      <c r="F15" s="1"/>
      <c r="G15" s="1"/>
      <c r="H15" s="1"/>
      <c r="I15" s="1"/>
      <c r="J15" s="1"/>
      <c r="K15" s="1"/>
      <c r="L15" s="22"/>
      <c r="M15" s="71" t="s">
        <v>41</v>
      </c>
      <c r="N15" s="14"/>
      <c r="O15" s="72" t="s">
        <v>42</v>
      </c>
      <c r="P15" s="44"/>
      <c r="Q15" s="14"/>
      <c r="R15" s="73" t="s">
        <v>43</v>
      </c>
      <c r="S15" s="14"/>
      <c r="T15" s="46" t="s">
        <v>44</v>
      </c>
      <c r="U15" s="5"/>
    </row>
    <row r="16" ht="22.5" customHeight="1">
      <c r="A16" s="1"/>
      <c r="B16" s="28" t="s">
        <v>45</v>
      </c>
      <c r="C16" s="1"/>
      <c r="D16" s="29" t="str">
        <f>HYPERLINK("https://www.reddit.com/r/RMTK/wiki/grondwet#wiki_artikel_4_-_clausule_geen_partijstatuut","Statuut")</f>
        <v>Statuut</v>
      </c>
      <c r="E16" s="11"/>
      <c r="F16" s="74"/>
      <c r="G16" s="75" t="s">
        <v>46</v>
      </c>
      <c r="H16" s="76" t="s">
        <v>47</v>
      </c>
      <c r="I16" s="77">
        <v>2.0</v>
      </c>
      <c r="J16" s="11"/>
      <c r="K16" s="78" t="s">
        <v>48</v>
      </c>
      <c r="L16" s="22"/>
      <c r="M16" s="21"/>
      <c r="N16" s="14"/>
      <c r="O16" s="43"/>
      <c r="P16" s="44"/>
      <c r="Q16" s="14"/>
      <c r="R16" s="53"/>
      <c r="S16" s="14"/>
      <c r="T16" s="53"/>
      <c r="U16" s="5"/>
    </row>
    <row r="17" ht="6.0" customHeight="1">
      <c r="A17" s="1"/>
      <c r="B17" s="1"/>
      <c r="C17" s="1"/>
      <c r="D17" s="1"/>
      <c r="E17" s="11"/>
      <c r="F17" s="1"/>
      <c r="G17" s="11"/>
      <c r="H17" s="11"/>
      <c r="I17" s="11"/>
      <c r="J17" s="1"/>
      <c r="K17" s="11"/>
      <c r="L17" s="22"/>
      <c r="M17" s="79"/>
      <c r="N17" s="14"/>
      <c r="O17" s="80" t="s">
        <v>49</v>
      </c>
      <c r="P17" s="44"/>
      <c r="Q17" s="14"/>
      <c r="R17" s="73" t="s">
        <v>50</v>
      </c>
      <c r="S17" s="14"/>
      <c r="T17" s="46" t="str">
        <f>HYPERLINK("https://www.reddit.com/r/RMTK/wiki/gids","Nieuwe ledengids")</f>
        <v>Nieuwe ledengids</v>
      </c>
      <c r="U17" s="5"/>
    </row>
    <row r="18" ht="22.5" customHeight="1">
      <c r="A18" s="1"/>
      <c r="B18" s="81" t="s">
        <v>51</v>
      </c>
      <c r="C18" s="1"/>
      <c r="D18" s="29" t="str">
        <f>HYPERLINK("https://www.reddit.com/r/RMTK/wiki/grondwet#wiki_artikel_4_-_clausule_geen_partijstatuut","Statuut")</f>
        <v>Statuut</v>
      </c>
      <c r="E18" s="11"/>
      <c r="F18" s="82"/>
      <c r="G18" s="83" t="s">
        <v>52</v>
      </c>
      <c r="H18" s="84" t="s">
        <v>53</v>
      </c>
      <c r="I18" s="85">
        <v>1.0</v>
      </c>
      <c r="J18" s="14"/>
      <c r="K18" s="86" t="s">
        <v>54</v>
      </c>
      <c r="L18" s="22"/>
      <c r="M18" s="87" t="s">
        <v>55</v>
      </c>
      <c r="N18" s="88"/>
      <c r="O18" s="26"/>
      <c r="P18" s="27"/>
      <c r="Q18" s="14"/>
      <c r="R18" s="53"/>
      <c r="S18" s="14"/>
      <c r="T18" s="53"/>
      <c r="U18" s="5"/>
    </row>
    <row r="19" ht="6.0" customHeight="1">
      <c r="A19" s="1"/>
      <c r="B19" s="1"/>
      <c r="C19" s="1"/>
      <c r="D19" s="1"/>
      <c r="E19" s="11"/>
      <c r="F19" s="1"/>
      <c r="G19" s="11"/>
      <c r="H19" s="11"/>
      <c r="I19" s="11"/>
      <c r="J19" s="1"/>
      <c r="K19" s="11"/>
      <c r="L19" s="11"/>
      <c r="M19" s="89" t="s">
        <v>56</v>
      </c>
      <c r="N19" s="90"/>
      <c r="O19" s="91"/>
      <c r="P19" s="91"/>
      <c r="Q19" s="14"/>
      <c r="R19" s="73" t="s">
        <v>57</v>
      </c>
      <c r="S19" s="14"/>
      <c r="T19" s="46" t="str">
        <f>HYPERLINK("https://www.reddit.com/r/RMTK/wiki/grondwet","RMTK Grondwet")</f>
        <v>RMTK Grondwet</v>
      </c>
      <c r="U19" s="5"/>
    </row>
    <row r="20" ht="21.0" customHeight="1">
      <c r="A20" s="1"/>
      <c r="B20" s="28" t="s">
        <v>58</v>
      </c>
      <c r="C20" s="11"/>
      <c r="D20" s="29" t="str">
        <f>HYPERLINK("https://www.reddit.com/r/RMTK/wiki/grondwet#wiki_artikel_4_-_clausule_geen_partijstatuut","Statuut")</f>
        <v>Statuut</v>
      </c>
      <c r="E20" s="11"/>
      <c r="F20" s="92"/>
      <c r="G20" s="93" t="s">
        <v>59</v>
      </c>
      <c r="H20" s="94" t="s">
        <v>60</v>
      </c>
      <c r="I20" s="95" t="s">
        <v>61</v>
      </c>
      <c r="J20" s="14"/>
      <c r="K20" s="96" t="s">
        <v>62</v>
      </c>
      <c r="L20" s="11"/>
      <c r="M20" s="21"/>
      <c r="N20" s="90"/>
      <c r="O20" s="36" t="s">
        <v>63</v>
      </c>
      <c r="P20" s="20"/>
      <c r="Q20" s="14"/>
      <c r="R20" s="53"/>
      <c r="S20" s="14"/>
      <c r="T20" s="53"/>
      <c r="U20" s="5"/>
    </row>
    <row r="21" ht="6.0" customHeight="1">
      <c r="A21" s="1"/>
      <c r="B21" s="11"/>
      <c r="C21" s="11"/>
      <c r="D21" s="11"/>
      <c r="E21" s="11"/>
      <c r="F21" s="11"/>
      <c r="G21" s="11"/>
      <c r="H21" s="11"/>
      <c r="I21" s="11"/>
      <c r="J21" s="11"/>
      <c r="K21" s="11"/>
      <c r="L21" s="22"/>
      <c r="M21" s="79"/>
      <c r="N21" s="97"/>
      <c r="O21" s="43"/>
      <c r="P21" s="44"/>
      <c r="Q21" s="14"/>
      <c r="R21" s="73" t="s">
        <v>64</v>
      </c>
      <c r="S21" s="5"/>
      <c r="T21" s="46" t="str">
        <f>HYPERLINK("https://www.reddit.com/r/RMTK/wiki/richtlijnen","RMTK Richtlijnen")</f>
        <v>RMTK Richtlijnen</v>
      </c>
      <c r="U21" s="1"/>
    </row>
    <row r="22" ht="21.0" customHeight="1">
      <c r="A22" s="98"/>
      <c r="B22" s="99"/>
      <c r="C22" s="100"/>
      <c r="D22" s="101"/>
      <c r="E22" s="100"/>
      <c r="F22" s="100"/>
      <c r="G22" s="102"/>
      <c r="H22" s="103"/>
      <c r="I22" s="103"/>
      <c r="J22" s="90"/>
      <c r="K22" s="90"/>
      <c r="L22" s="88"/>
      <c r="N22" s="14"/>
      <c r="O22" s="104" t="s">
        <v>65</v>
      </c>
      <c r="P22" s="44"/>
      <c r="Q22" s="88"/>
      <c r="R22" s="53"/>
      <c r="S22" s="5"/>
      <c r="T22" s="21"/>
      <c r="U22" s="5"/>
    </row>
    <row r="23" ht="6.0" customHeight="1">
      <c r="A23" s="1"/>
      <c r="B23" s="9"/>
      <c r="C23" s="9"/>
      <c r="D23" s="9"/>
      <c r="E23" s="9"/>
      <c r="F23" s="9"/>
      <c r="G23" s="9"/>
      <c r="H23" s="9"/>
      <c r="I23" s="9"/>
      <c r="J23" s="9"/>
      <c r="K23" s="9"/>
      <c r="L23" s="11"/>
      <c r="M23" s="10"/>
      <c r="N23" s="12"/>
      <c r="O23" s="43"/>
      <c r="P23" s="44"/>
      <c r="Q23" s="14"/>
      <c r="R23" s="105" t="s">
        <v>66</v>
      </c>
      <c r="S23" s="5"/>
      <c r="T23" s="5"/>
      <c r="U23" s="5"/>
    </row>
    <row r="24" ht="21.0" customHeight="1">
      <c r="A24" s="1"/>
      <c r="B24" s="106" t="s">
        <v>67</v>
      </c>
      <c r="C24" s="16"/>
      <c r="D24" s="16"/>
      <c r="E24" s="16"/>
      <c r="F24" s="16"/>
      <c r="G24" s="16"/>
      <c r="H24" s="16"/>
      <c r="I24" s="16"/>
      <c r="J24" s="16"/>
      <c r="K24" s="16"/>
      <c r="L24" s="16"/>
      <c r="M24" s="17"/>
      <c r="N24" s="12"/>
      <c r="O24" s="104" t="s">
        <v>68</v>
      </c>
      <c r="P24" s="44"/>
      <c r="Q24" s="14"/>
      <c r="R24" s="53"/>
      <c r="S24" s="14"/>
      <c r="T24" s="70" t="s">
        <v>69</v>
      </c>
      <c r="U24" s="5"/>
    </row>
    <row r="25" ht="6.0" customHeight="1">
      <c r="A25" s="1"/>
      <c r="B25" s="9"/>
      <c r="C25" s="9"/>
      <c r="D25" s="9"/>
      <c r="E25" s="9"/>
      <c r="F25" s="9"/>
      <c r="G25" s="9"/>
      <c r="H25" s="9"/>
      <c r="I25" s="9"/>
      <c r="J25" s="9"/>
      <c r="K25" s="9"/>
      <c r="L25" s="9"/>
      <c r="M25" s="9"/>
      <c r="N25" s="12"/>
      <c r="O25" s="107"/>
      <c r="P25" s="107"/>
      <c r="Q25" s="14"/>
      <c r="R25" s="105" t="s">
        <v>70</v>
      </c>
      <c r="S25" s="14"/>
      <c r="T25" s="108" t="str">
        <f>HYPERLINK("https://www.reddit.com/r/RMTK/","r/RMTK")</f>
        <v>r/RMTK</v>
      </c>
      <c r="U25" s="5"/>
    </row>
    <row r="26" ht="21.0" customHeight="1">
      <c r="A26" s="90"/>
      <c r="B26" s="109" t="str">
        <f>HYPERLINK("https://docs.google.com/spreadsheets/d/1QqfHXFp2eF_sX1Vf8ggoeIvxp-W66m3i-4bI3OeFHg8/edit#gid=19430298","Geschiedenis")</f>
        <v>Geschiedenis</v>
      </c>
      <c r="C26" s="16"/>
      <c r="D26" s="16"/>
      <c r="E26" s="16"/>
      <c r="F26" s="16"/>
      <c r="G26" s="16"/>
      <c r="H26" s="16"/>
      <c r="I26" s="16"/>
      <c r="J26" s="16"/>
      <c r="K26" s="16"/>
      <c r="L26" s="16"/>
      <c r="M26" s="17"/>
      <c r="N26" s="14"/>
      <c r="O26" s="110" t="s">
        <v>71</v>
      </c>
      <c r="P26" s="111"/>
      <c r="Q26" s="14"/>
      <c r="R26" s="21"/>
      <c r="S26" s="14"/>
      <c r="T26" s="53"/>
      <c r="U26" s="5"/>
    </row>
    <row r="27" ht="6.0" customHeight="1">
      <c r="A27" s="1"/>
      <c r="B27" s="112"/>
      <c r="C27" s="112"/>
      <c r="D27" s="112"/>
      <c r="E27" s="112"/>
      <c r="F27" s="112"/>
      <c r="G27" s="112"/>
      <c r="H27" s="112"/>
      <c r="I27" s="112"/>
      <c r="J27" s="112"/>
      <c r="K27" s="112"/>
      <c r="L27" s="112"/>
      <c r="M27" s="112"/>
      <c r="N27" s="12"/>
      <c r="O27" s="113" t="s">
        <v>71</v>
      </c>
      <c r="P27" s="44"/>
      <c r="Q27" s="14"/>
      <c r="R27" s="114"/>
      <c r="S27" s="14"/>
      <c r="T27" s="115" t="str">
        <f>HYPERLINK("https://www.reddit.com/r/RMTKMedia/","r/RMTKMedia")</f>
        <v>r/RMTKMedia</v>
      </c>
      <c r="U27" s="5"/>
    </row>
    <row r="28" ht="21.0" customHeight="1">
      <c r="A28" s="12"/>
      <c r="B28" s="109" t="str">
        <f>HYPERLINK("https://docs.google.com/spreadsheets/d/1eD5XmIXxBoOfQW2WEzHST1i5Lj7OThDQwM-IMhG8HnU/edit#gid=1998938486","Politiek")</f>
        <v>Politiek</v>
      </c>
      <c r="C28" s="16"/>
      <c r="D28" s="16"/>
      <c r="E28" s="16"/>
      <c r="F28" s="16"/>
      <c r="G28" s="16"/>
      <c r="H28" s="16"/>
      <c r="I28" s="16"/>
      <c r="J28" s="16"/>
      <c r="K28" s="16"/>
      <c r="L28" s="16"/>
      <c r="M28" s="17"/>
      <c r="N28" s="14"/>
      <c r="O28" s="26"/>
      <c r="P28" s="27"/>
      <c r="Q28" s="14"/>
      <c r="R28" s="116" t="s">
        <v>72</v>
      </c>
      <c r="S28" s="14"/>
      <c r="T28" s="53"/>
      <c r="U28" s="5"/>
    </row>
    <row r="29" ht="6.0" customHeight="1">
      <c r="A29" s="1"/>
      <c r="B29" s="112"/>
      <c r="C29" s="112"/>
      <c r="D29" s="112"/>
      <c r="E29" s="112"/>
      <c r="F29" s="112"/>
      <c r="G29" s="112"/>
      <c r="H29" s="112"/>
      <c r="I29" s="112"/>
      <c r="J29" s="112"/>
      <c r="K29" s="112"/>
      <c r="L29" s="112"/>
      <c r="M29" s="112"/>
      <c r="N29" s="12"/>
      <c r="O29" s="117"/>
      <c r="P29" s="117"/>
      <c r="Q29" s="14"/>
      <c r="R29" s="118" t="s">
        <v>73</v>
      </c>
      <c r="S29" s="14"/>
      <c r="T29" s="119" t="str">
        <f>HYPERLINK("https://www.reddit.com/r/RMTKMeta/","r/RMTKMeta")</f>
        <v>r/RMTKMeta</v>
      </c>
      <c r="U29" s="5"/>
    </row>
    <row r="30" ht="21.0" customHeight="1">
      <c r="A30" s="12"/>
      <c r="B30" s="1"/>
      <c r="C30" s="1"/>
      <c r="D30" s="1"/>
      <c r="E30" s="1"/>
      <c r="F30" s="1"/>
      <c r="G30" s="1"/>
      <c r="H30" s="1"/>
      <c r="I30" s="1"/>
      <c r="J30" s="1"/>
      <c r="K30" s="1"/>
      <c r="L30" s="1"/>
      <c r="M30" s="1"/>
      <c r="N30" s="14"/>
      <c r="O30" s="120" t="s">
        <v>74</v>
      </c>
      <c r="P30" s="20"/>
      <c r="Q30" s="14"/>
      <c r="R30" s="53"/>
      <c r="S30" s="14"/>
      <c r="T30" s="21"/>
      <c r="U30" s="5"/>
    </row>
    <row r="31" ht="6.0" customHeight="1">
      <c r="A31" s="1"/>
      <c r="B31" s="10"/>
      <c r="C31" s="10"/>
      <c r="D31" s="10"/>
      <c r="E31" s="10"/>
      <c r="F31" s="10"/>
      <c r="G31" s="10"/>
      <c r="H31" s="10"/>
      <c r="I31" s="10"/>
      <c r="J31" s="10"/>
      <c r="K31" s="10"/>
      <c r="L31" s="10"/>
      <c r="M31" s="10"/>
      <c r="N31" s="12"/>
      <c r="O31" s="121" t="s">
        <v>74</v>
      </c>
      <c r="P31" s="44"/>
      <c r="Q31" s="14"/>
      <c r="R31" s="118" t="s">
        <v>75</v>
      </c>
      <c r="S31" s="5"/>
      <c r="T31" s="122" t="str">
        <f>HYPERLINK("https://discordapp.com/invite/59a6CBC","Discord")</f>
        <v>Discord</v>
      </c>
      <c r="U31" s="5"/>
    </row>
    <row r="32" ht="21.0" customHeight="1">
      <c r="A32" s="1"/>
      <c r="B32" s="1"/>
      <c r="C32" s="1"/>
      <c r="D32" s="1"/>
      <c r="E32" s="1"/>
      <c r="F32" s="1"/>
      <c r="G32" s="1"/>
      <c r="H32" s="1"/>
      <c r="I32" s="1"/>
      <c r="J32" s="1"/>
      <c r="K32" s="1"/>
      <c r="L32" s="1"/>
      <c r="M32" s="1"/>
      <c r="N32" s="14"/>
      <c r="O32" s="26"/>
      <c r="P32" s="27"/>
      <c r="Q32" s="14"/>
      <c r="R32" s="53"/>
      <c r="S32" s="5"/>
      <c r="T32" s="21"/>
      <c r="U32" s="5"/>
    </row>
    <row r="33" ht="6.0" customHeight="1">
      <c r="A33" s="1"/>
      <c r="B33" s="1"/>
      <c r="C33" s="1"/>
      <c r="D33" s="1"/>
      <c r="E33" s="1"/>
      <c r="F33" s="1"/>
      <c r="G33" s="1"/>
      <c r="H33" s="1"/>
      <c r="I33" s="1"/>
      <c r="J33" s="1"/>
      <c r="K33" s="1"/>
      <c r="L33" s="1"/>
      <c r="M33" s="1"/>
      <c r="N33" s="12"/>
      <c r="O33" s="123"/>
      <c r="P33" s="124"/>
      <c r="Q33" s="14"/>
      <c r="R33" s="73" t="s">
        <v>72</v>
      </c>
      <c r="S33" s="5"/>
      <c r="T33" s="1"/>
      <c r="U33" s="5"/>
    </row>
    <row r="34" ht="21.0" customHeight="1">
      <c r="A34" s="1"/>
      <c r="B34" s="1"/>
      <c r="C34" s="1"/>
      <c r="D34" s="1"/>
      <c r="E34" s="1"/>
      <c r="F34" s="1"/>
      <c r="G34" s="1"/>
      <c r="H34" s="1"/>
      <c r="I34" s="1"/>
      <c r="J34" s="1"/>
      <c r="K34" s="1"/>
      <c r="L34" s="1"/>
      <c r="M34" s="1"/>
      <c r="N34" s="14"/>
      <c r="Q34" s="14"/>
      <c r="R34" s="53"/>
      <c r="S34" s="5"/>
      <c r="T34" s="1"/>
      <c r="U34" s="5"/>
    </row>
    <row r="35" ht="6.0" customHeight="1">
      <c r="A35" s="1"/>
      <c r="B35" s="1"/>
      <c r="C35" s="1"/>
      <c r="D35" s="1"/>
      <c r="E35" s="1"/>
      <c r="F35" s="1"/>
      <c r="G35" s="1"/>
      <c r="H35" s="1"/>
      <c r="I35" s="1"/>
      <c r="J35" s="1"/>
      <c r="K35" s="1"/>
      <c r="L35" s="1"/>
      <c r="M35" s="1"/>
      <c r="N35" s="1"/>
      <c r="O35" s="10"/>
      <c r="P35" s="10"/>
      <c r="Q35" s="12"/>
      <c r="R35" s="105" t="s">
        <v>76</v>
      </c>
      <c r="S35" s="5"/>
      <c r="T35" s="10"/>
      <c r="U35" s="1"/>
    </row>
    <row r="36" ht="21.0" customHeight="1">
      <c r="A36" s="1"/>
      <c r="B36" s="1"/>
      <c r="C36" s="1"/>
      <c r="D36" s="1"/>
      <c r="E36" s="1"/>
      <c r="F36" s="1"/>
      <c r="G36" s="1"/>
      <c r="H36" s="1"/>
      <c r="I36" s="1"/>
      <c r="J36" s="1"/>
      <c r="K36" s="1"/>
      <c r="L36" s="1"/>
      <c r="M36" s="1"/>
      <c r="N36" s="1"/>
      <c r="O36" s="1"/>
      <c r="P36" s="1"/>
      <c r="Q36" s="12"/>
      <c r="R36" s="53"/>
      <c r="S36" s="5"/>
      <c r="T36" s="1"/>
      <c r="U36" s="1"/>
    </row>
    <row r="37" ht="6.0" customHeight="1">
      <c r="A37" s="1"/>
      <c r="B37" s="1"/>
      <c r="C37" s="1"/>
      <c r="D37" s="1"/>
      <c r="E37" s="1"/>
      <c r="F37" s="1"/>
      <c r="G37" s="1"/>
      <c r="H37" s="1"/>
      <c r="I37" s="1"/>
      <c r="J37" s="1"/>
      <c r="K37" s="1"/>
      <c r="L37" s="1"/>
      <c r="M37" s="1"/>
      <c r="N37" s="1"/>
      <c r="O37" s="1"/>
      <c r="P37" s="1"/>
      <c r="Q37" s="12"/>
      <c r="R37" s="125" t="s">
        <v>77</v>
      </c>
      <c r="S37" s="5"/>
      <c r="T37" s="1"/>
      <c r="U37" s="1"/>
    </row>
    <row r="38" ht="21.0" customHeight="1">
      <c r="A38" s="1"/>
      <c r="B38" s="1"/>
      <c r="C38" s="1"/>
      <c r="D38" s="1"/>
      <c r="E38" s="1"/>
      <c r="F38" s="1"/>
      <c r="G38" s="1"/>
      <c r="H38" s="1"/>
      <c r="I38" s="1"/>
      <c r="J38" s="1"/>
      <c r="K38" s="1"/>
      <c r="L38" s="1"/>
      <c r="M38" s="1"/>
      <c r="N38" s="1"/>
      <c r="O38" s="1"/>
      <c r="P38" s="12"/>
      <c r="Q38" s="14"/>
      <c r="R38" s="53"/>
      <c r="S38" s="5"/>
      <c r="T38" s="126"/>
      <c r="U38" s="1"/>
    </row>
    <row r="39" ht="21.0" customHeight="1">
      <c r="A39" s="90"/>
      <c r="B39" s="90"/>
      <c r="C39" s="90"/>
      <c r="D39" s="90"/>
      <c r="E39" s="90"/>
      <c r="F39" s="90"/>
      <c r="G39" s="90"/>
      <c r="H39" s="90"/>
      <c r="I39" s="90"/>
      <c r="J39" s="90"/>
      <c r="K39" s="90"/>
      <c r="L39" s="90"/>
      <c r="M39" s="90"/>
      <c r="N39" s="90"/>
      <c r="O39" s="90"/>
      <c r="P39" s="90"/>
      <c r="Q39" s="90"/>
      <c r="R39" s="21"/>
      <c r="S39" s="90"/>
      <c r="T39" s="126" t="s">
        <v>78</v>
      </c>
      <c r="U39" s="90"/>
    </row>
  </sheetData>
  <mergeCells count="55">
    <mergeCell ref="R31:R32"/>
    <mergeCell ref="R33:R34"/>
    <mergeCell ref="R35:R36"/>
    <mergeCell ref="R37:R39"/>
    <mergeCell ref="R23:R24"/>
    <mergeCell ref="R25:R26"/>
    <mergeCell ref="O27:P28"/>
    <mergeCell ref="R29:R30"/>
    <mergeCell ref="O30:P30"/>
    <mergeCell ref="O31:P32"/>
    <mergeCell ref="O33:P34"/>
    <mergeCell ref="B2:T2"/>
    <mergeCell ref="B3:T3"/>
    <mergeCell ref="B5:B6"/>
    <mergeCell ref="D5:D6"/>
    <mergeCell ref="F5:I5"/>
    <mergeCell ref="K5:K6"/>
    <mergeCell ref="M5:M6"/>
    <mergeCell ref="T5:T6"/>
    <mergeCell ref="M11:M12"/>
    <mergeCell ref="M13:M14"/>
    <mergeCell ref="M15:M16"/>
    <mergeCell ref="M19:M20"/>
    <mergeCell ref="M21:M22"/>
    <mergeCell ref="O5:P6"/>
    <mergeCell ref="R5:R6"/>
    <mergeCell ref="O8:P9"/>
    <mergeCell ref="R9:R10"/>
    <mergeCell ref="O10:P10"/>
    <mergeCell ref="R11:R12"/>
    <mergeCell ref="O12:P13"/>
    <mergeCell ref="O20:P21"/>
    <mergeCell ref="O22:P23"/>
    <mergeCell ref="B24:M24"/>
    <mergeCell ref="O24:P24"/>
    <mergeCell ref="B26:M26"/>
    <mergeCell ref="O26:P26"/>
    <mergeCell ref="B28:M28"/>
    <mergeCell ref="O14:P14"/>
    <mergeCell ref="O15:P16"/>
    <mergeCell ref="R15:R16"/>
    <mergeCell ref="O17:P18"/>
    <mergeCell ref="R17:R18"/>
    <mergeCell ref="R19:R20"/>
    <mergeCell ref="R21:R22"/>
    <mergeCell ref="T27:T28"/>
    <mergeCell ref="T29:T30"/>
    <mergeCell ref="T31:T32"/>
    <mergeCell ref="T9:T10"/>
    <mergeCell ref="T11:T12"/>
    <mergeCell ref="T15:T16"/>
    <mergeCell ref="T17:T18"/>
    <mergeCell ref="T19:T20"/>
    <mergeCell ref="T21:T22"/>
    <mergeCell ref="T25:T26"/>
  </mergeCells>
  <hyperlinks>
    <hyperlink display="Tweede Kamer" location="TK-House_of_Farts-II!A1" ref="R9"/>
    <hyperlink display="Hall of Fame" location="Hall of Fame!A1" ref="T9"/>
    <hyperlink display="Eerste Kamer" location="EK-House_of_Farts-II!A1" ref="R11"/>
    <hyperlink display="RMTK Geschiedenis" location="RMTK Geschiedenis!A1" ref="R15"/>
    <hyperlink r:id="rId1" ref="T15"/>
    <hyperlink r:id="rId2" ref="B16"/>
    <hyperlink display="Parlementaire Geschiedenis" location="Parlementaire Geschiedenis!A1" ref="R17"/>
    <hyperlink r:id="rId3" ref="M19"/>
    <hyperlink display="RMTK Kaart" location="RMTKaart!A1" ref="R19"/>
    <hyperlink r:id="rId4" ref="B20"/>
    <hyperlink display="Kabinetten Geschiedenis" location="Kabinetten Geschiedenis!A1" ref="R21"/>
    <hyperlink display="Activiteiten" location="Activiteiten!A1" ref="R23"/>
    <hyperlink display="Verkiezingen Geschiedenis" location="Verkiezingen Geschiedenis!A1" ref="R25"/>
    <hyperlink r:id="rId5" ref="O27"/>
    <hyperlink display="Moties" location="Moties!A1" ref="R29"/>
    <hyperlink r:id="rId6" ref="O31"/>
    <hyperlink display="Wetten &amp; Amendementen" location="Wetten &amp; Amendementen!A1" ref="R31"/>
    <hyperlink display="Kamerstukken" location="Kamerstukken!A1" ref="R33"/>
    <hyperlink display="Koninklijke besluiten" location="Koninklijke Besluiten!A1" ref="R35"/>
    <hyperlink display="Debatten, Kamervragen &amp; Nota's" location="Debatten, Kamervragen &amp; Nota's!A1" ref="R37"/>
  </hyperlinks>
  <drawing r:id="rId7"/>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AA84F"/>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2" max="2" width="22.71"/>
    <col customWidth="1" min="3" max="5" width="14.43"/>
    <col customWidth="1" min="6" max="7" width="7.29"/>
    <col customWidth="1" min="8" max="9" width="14.43"/>
    <col customWidth="1" min="10" max="10" width="0.86"/>
    <col customWidth="1" min="11" max="12" width="7.29"/>
    <col customWidth="1" min="13" max="15" width="14.43"/>
    <col customWidth="1" min="16" max="16" width="0.86"/>
    <col customWidth="1" min="17" max="24" width="7.29"/>
    <col customWidth="1" min="25" max="26" width="14.43"/>
    <col customWidth="1" min="27" max="27" width="0.86"/>
    <col customWidth="1" min="28" max="28" width="14.43"/>
    <col customWidth="1" min="29" max="30" width="7.29"/>
    <col customWidth="1" min="31" max="33" width="14.43"/>
    <col customWidth="1" min="34" max="34" width="7.29"/>
    <col customWidth="1" min="35" max="35" width="0.86"/>
    <col customWidth="1" min="36" max="44" width="7.29"/>
    <col customWidth="1" min="45" max="46" width="14.43"/>
    <col customWidth="1" min="47" max="47" width="0.86"/>
    <col customWidth="1" min="48" max="51" width="14.43"/>
    <col customWidth="1" min="52" max="53" width="7.29"/>
    <col customWidth="1" min="54" max="55" width="14.43"/>
    <col customWidth="1" min="56" max="56" width="0.86"/>
    <col customWidth="1" min="57" max="59" width="14.43"/>
    <col customWidth="1" min="60" max="65" width="7.29"/>
    <col customWidth="1" min="66" max="66" width="0.86"/>
    <col customWidth="1" min="67" max="70" width="7.29"/>
    <col customWidth="1" min="71" max="74" width="3.71"/>
    <col customWidth="1" min="75" max="78" width="7.29"/>
    <col customWidth="1" min="79" max="79" width="0.86"/>
    <col customWidth="1" min="80" max="80" width="7.29"/>
    <col customWidth="1" min="81" max="82" width="3.71"/>
    <col customWidth="1" min="83" max="85" width="7.29"/>
    <col customWidth="1" min="86" max="87" width="3.71"/>
    <col customWidth="1" min="88" max="93" width="7.29"/>
    <col customWidth="1" min="94" max="94" width="0.86"/>
    <col customWidth="1" min="95" max="96" width="7.29"/>
    <col customWidth="1" min="97" max="100" width="3.71"/>
    <col customWidth="1" min="101" max="107" width="7.29"/>
    <col customWidth="1" min="108" max="109" width="3.71"/>
    <col customWidth="1" min="110" max="110" width="0.86"/>
    <col customWidth="1" min="111" max="112" width="7.29"/>
    <col customWidth="1" min="113" max="144" width="3.71"/>
  </cols>
  <sheetData>
    <row r="1" ht="21.0" customHeight="1">
      <c r="A1" s="663" t="s">
        <v>1021</v>
      </c>
      <c r="B1" s="20"/>
      <c r="C1" s="664" t="s">
        <v>1022</v>
      </c>
      <c r="D1" s="252"/>
      <c r="I1" s="665" t="s">
        <v>1023</v>
      </c>
      <c r="M1" s="252"/>
      <c r="O1" s="665" t="s">
        <v>1024</v>
      </c>
      <c r="S1" s="252"/>
      <c r="Z1" s="665" t="s">
        <v>1025</v>
      </c>
      <c r="AC1" s="456"/>
      <c r="AG1" s="665" t="s">
        <v>1026</v>
      </c>
      <c r="AM1" s="456"/>
      <c r="AT1" s="665" t="s">
        <v>1027</v>
      </c>
      <c r="AW1" s="456"/>
      <c r="BC1" s="665" t="s">
        <v>1028</v>
      </c>
      <c r="BF1" s="456"/>
      <c r="BL1" s="665" t="s">
        <v>1029</v>
      </c>
      <c r="BQ1" s="456"/>
      <c r="BY1" s="665" t="s">
        <v>1030</v>
      </c>
      <c r="CE1" s="456"/>
      <c r="CN1" s="665" t="s">
        <v>1031</v>
      </c>
      <c r="CS1" s="456"/>
      <c r="DC1" s="665" t="s">
        <v>79</v>
      </c>
      <c r="DI1" s="456"/>
    </row>
    <row r="2" ht="21.0" customHeight="1">
      <c r="A2" s="43"/>
      <c r="B2" s="44"/>
      <c r="C2" s="666">
        <v>2015.0</v>
      </c>
      <c r="L2" s="44"/>
      <c r="M2" s="666">
        <v>2016.0</v>
      </c>
      <c r="AF2" s="666">
        <v>2017.0</v>
      </c>
      <c r="AX2" s="44"/>
      <c r="AY2" s="666">
        <v>2018.0</v>
      </c>
      <c r="BR2" s="44"/>
      <c r="BS2" s="667">
        <v>2019.0</v>
      </c>
      <c r="CX2" s="44"/>
      <c r="CY2" s="667">
        <v>2020.0</v>
      </c>
    </row>
    <row r="3" ht="21.0" customHeight="1">
      <c r="A3" s="26"/>
      <c r="B3" s="27"/>
      <c r="C3" s="252" t="s">
        <v>1032</v>
      </c>
      <c r="D3" s="252" t="s">
        <v>1033</v>
      </c>
      <c r="E3" s="252" t="s">
        <v>1034</v>
      </c>
      <c r="F3" s="252" t="s">
        <v>1035</v>
      </c>
      <c r="H3" s="252" t="s">
        <v>1036</v>
      </c>
      <c r="I3" s="252" t="s">
        <v>1037</v>
      </c>
      <c r="J3" s="668"/>
      <c r="K3" s="252" t="s">
        <v>1038</v>
      </c>
      <c r="L3" s="44"/>
      <c r="M3" s="669" t="s">
        <v>1039</v>
      </c>
      <c r="N3" s="252" t="s">
        <v>1040</v>
      </c>
      <c r="O3" s="252" t="s">
        <v>1041</v>
      </c>
      <c r="P3" s="668"/>
      <c r="Q3" s="252" t="s">
        <v>1042</v>
      </c>
      <c r="S3" s="252" t="s">
        <v>1043</v>
      </c>
      <c r="U3" s="252" t="s">
        <v>1032</v>
      </c>
      <c r="W3" s="252" t="s">
        <v>1033</v>
      </c>
      <c r="Y3" s="252" t="s">
        <v>1034</v>
      </c>
      <c r="Z3" s="252" t="s">
        <v>1035</v>
      </c>
      <c r="AA3" s="668"/>
      <c r="AB3" s="252" t="s">
        <v>1036</v>
      </c>
      <c r="AC3" s="252" t="s">
        <v>1037</v>
      </c>
      <c r="AE3" s="253" t="s">
        <v>1038</v>
      </c>
      <c r="AF3" s="669" t="s">
        <v>1039</v>
      </c>
      <c r="AG3" s="252" t="s">
        <v>1040</v>
      </c>
      <c r="AH3" s="252" t="s">
        <v>1041</v>
      </c>
      <c r="AK3" s="252" t="s">
        <v>1042</v>
      </c>
      <c r="AM3" s="252" t="s">
        <v>1043</v>
      </c>
      <c r="AO3" s="252" t="s">
        <v>1032</v>
      </c>
      <c r="AQ3" s="252" t="s">
        <v>1033</v>
      </c>
      <c r="AS3" s="252" t="s">
        <v>1034</v>
      </c>
      <c r="AT3" s="252" t="s">
        <v>1035</v>
      </c>
      <c r="AU3" s="668"/>
      <c r="AV3" s="252" t="s">
        <v>1036</v>
      </c>
      <c r="AW3" s="252" t="s">
        <v>1037</v>
      </c>
      <c r="AX3" s="253" t="s">
        <v>1038</v>
      </c>
      <c r="AY3" s="669" t="s">
        <v>1039</v>
      </c>
      <c r="AZ3" s="252" t="s">
        <v>1040</v>
      </c>
      <c r="BB3" s="252" t="s">
        <v>1041</v>
      </c>
      <c r="BC3" s="252" t="s">
        <v>1042</v>
      </c>
      <c r="BD3" s="668"/>
      <c r="BE3" s="252" t="s">
        <v>1043</v>
      </c>
      <c r="BF3" s="252" t="s">
        <v>1032</v>
      </c>
      <c r="BG3" s="252" t="s">
        <v>1033</v>
      </c>
      <c r="BH3" s="252" t="s">
        <v>1034</v>
      </c>
      <c r="BJ3" s="252" t="s">
        <v>1035</v>
      </c>
      <c r="BL3" s="252" t="s">
        <v>1036</v>
      </c>
      <c r="BN3" s="668"/>
      <c r="BO3" s="252" t="s">
        <v>1037</v>
      </c>
      <c r="BQ3" s="670" t="s">
        <v>1038</v>
      </c>
      <c r="BR3" s="27"/>
      <c r="BS3" s="671" t="s">
        <v>1039</v>
      </c>
      <c r="BT3" s="330"/>
      <c r="BU3" s="330"/>
      <c r="BV3" s="330"/>
      <c r="BW3" s="671" t="s">
        <v>1040</v>
      </c>
      <c r="BX3" s="330"/>
      <c r="BY3" s="671" t="s">
        <v>1041</v>
      </c>
      <c r="BZ3" s="330"/>
      <c r="CA3" s="668"/>
      <c r="CB3" s="671" t="s">
        <v>1042</v>
      </c>
      <c r="CC3" s="330"/>
      <c r="CD3" s="330"/>
      <c r="CE3" s="672" t="s">
        <v>1043</v>
      </c>
      <c r="CF3" s="330"/>
      <c r="CG3" s="671" t="s">
        <v>1032</v>
      </c>
      <c r="CH3" s="330"/>
      <c r="CI3" s="330"/>
      <c r="CJ3" s="671" t="s">
        <v>1033</v>
      </c>
      <c r="CK3" s="330"/>
      <c r="CL3" s="671" t="s">
        <v>1034</v>
      </c>
      <c r="CM3" s="330"/>
      <c r="CN3" s="671" t="s">
        <v>1035</v>
      </c>
      <c r="CO3" s="330"/>
      <c r="CP3" s="668"/>
      <c r="CQ3" s="671" t="s">
        <v>1036</v>
      </c>
      <c r="CR3" s="330"/>
      <c r="CS3" s="671" t="s">
        <v>1037</v>
      </c>
      <c r="CT3" s="330"/>
      <c r="CU3" s="330"/>
      <c r="CV3" s="330"/>
      <c r="CW3" s="670" t="s">
        <v>1038</v>
      </c>
      <c r="CX3" s="27"/>
      <c r="CY3" s="671" t="s">
        <v>1039</v>
      </c>
      <c r="CZ3" s="330"/>
      <c r="DA3" s="671" t="s">
        <v>1040</v>
      </c>
      <c r="DB3" s="330"/>
      <c r="DC3" s="671" t="s">
        <v>1041</v>
      </c>
      <c r="DD3" s="330"/>
      <c r="DE3" s="330"/>
      <c r="DF3" s="668"/>
      <c r="DG3" s="671" t="s">
        <v>1042</v>
      </c>
      <c r="DH3" s="330"/>
      <c r="DI3" s="671" t="s">
        <v>1043</v>
      </c>
      <c r="DJ3" s="330"/>
      <c r="DK3" s="330"/>
      <c r="DL3" s="330"/>
      <c r="DM3" s="671" t="s">
        <v>1032</v>
      </c>
      <c r="DN3" s="330"/>
      <c r="DO3" s="330"/>
      <c r="DP3" s="330"/>
      <c r="DQ3" s="671" t="s">
        <v>1033</v>
      </c>
      <c r="DR3" s="330"/>
      <c r="DS3" s="330"/>
      <c r="DT3" s="330"/>
      <c r="DU3" s="671" t="s">
        <v>1034</v>
      </c>
      <c r="DV3" s="330"/>
      <c r="DW3" s="330"/>
      <c r="DX3" s="330"/>
      <c r="DY3" s="671" t="s">
        <v>1035</v>
      </c>
      <c r="DZ3" s="330"/>
      <c r="EA3" s="330"/>
      <c r="EB3" s="330"/>
      <c r="EC3" s="671" t="s">
        <v>1036</v>
      </c>
      <c r="ED3" s="330"/>
      <c r="EE3" s="330"/>
      <c r="EF3" s="330"/>
      <c r="EG3" s="671" t="s">
        <v>1037</v>
      </c>
      <c r="EH3" s="330"/>
      <c r="EI3" s="330"/>
      <c r="EJ3" s="330"/>
      <c r="EK3" s="671" t="s">
        <v>1038</v>
      </c>
      <c r="EL3" s="330"/>
      <c r="EM3" s="330"/>
      <c r="EN3" s="330"/>
    </row>
    <row r="4" ht="3.75" customHeight="1">
      <c r="A4" s="673"/>
      <c r="B4" s="674"/>
      <c r="C4" s="673"/>
      <c r="D4" s="673"/>
      <c r="E4" s="673"/>
      <c r="F4" s="673"/>
      <c r="G4" s="673"/>
      <c r="H4" s="673"/>
      <c r="I4" s="673"/>
      <c r="J4" s="673"/>
      <c r="K4" s="673"/>
      <c r="L4" s="673"/>
      <c r="M4" s="673"/>
      <c r="N4" s="673"/>
      <c r="O4" s="673"/>
      <c r="P4" s="673"/>
      <c r="Q4" s="673"/>
      <c r="R4" s="673"/>
      <c r="S4" s="673"/>
      <c r="T4" s="673"/>
      <c r="U4" s="673"/>
      <c r="V4" s="673"/>
      <c r="W4" s="673"/>
      <c r="X4" s="673"/>
      <c r="Y4" s="673"/>
      <c r="Z4" s="673"/>
      <c r="AA4" s="673"/>
      <c r="AB4" s="673"/>
      <c r="AC4" s="673"/>
      <c r="AD4" s="673"/>
      <c r="AE4" s="673"/>
      <c r="AF4" s="673"/>
      <c r="AG4" s="673"/>
      <c r="AH4" s="673"/>
      <c r="AI4" s="673"/>
      <c r="AJ4" s="673"/>
      <c r="AK4" s="673"/>
      <c r="AL4" s="673"/>
      <c r="AM4" s="673"/>
      <c r="AN4" s="673"/>
      <c r="AO4" s="673"/>
      <c r="AP4" s="673"/>
      <c r="AQ4" s="673"/>
      <c r="AR4" s="673"/>
      <c r="AS4" s="673"/>
      <c r="AT4" s="673"/>
      <c r="AU4" s="673"/>
      <c r="AV4" s="673"/>
      <c r="AW4" s="673"/>
      <c r="AX4" s="673"/>
      <c r="AY4" s="673"/>
      <c r="AZ4" s="673"/>
      <c r="BA4" s="673"/>
      <c r="BB4" s="673"/>
      <c r="BC4" s="673"/>
      <c r="BD4" s="673"/>
      <c r="BE4" s="673"/>
      <c r="BF4" s="673"/>
      <c r="BG4" s="673"/>
      <c r="BH4" s="673"/>
      <c r="BI4" s="673"/>
      <c r="BJ4" s="673"/>
      <c r="BK4" s="673"/>
      <c r="BL4" s="673"/>
      <c r="BM4" s="673"/>
      <c r="BN4" s="673"/>
      <c r="BO4" s="673"/>
      <c r="BP4" s="673"/>
      <c r="BQ4" s="675"/>
      <c r="BR4" s="675"/>
      <c r="BS4" s="676"/>
      <c r="BT4" s="676"/>
      <c r="BU4" s="676"/>
      <c r="BV4" s="676"/>
      <c r="BW4" s="676"/>
      <c r="BX4" s="676"/>
      <c r="BY4" s="676"/>
      <c r="BZ4" s="676"/>
      <c r="CA4" s="673"/>
      <c r="CB4" s="676"/>
      <c r="CC4" s="676"/>
      <c r="CD4" s="676"/>
      <c r="CE4" s="676"/>
      <c r="CF4" s="676"/>
      <c r="CG4" s="676"/>
      <c r="CH4" s="676"/>
      <c r="CI4" s="676"/>
      <c r="CJ4" s="676"/>
      <c r="CK4" s="676"/>
      <c r="CL4" s="676"/>
      <c r="CM4" s="676"/>
      <c r="CN4" s="676"/>
      <c r="CO4" s="676"/>
      <c r="CP4" s="676"/>
      <c r="CQ4" s="676"/>
      <c r="CR4" s="676"/>
      <c r="CS4" s="676"/>
      <c r="CT4" s="676"/>
      <c r="CU4" s="676"/>
      <c r="CV4" s="676"/>
      <c r="CW4" s="676"/>
      <c r="CX4" s="676"/>
      <c r="CY4" s="676"/>
      <c r="CZ4" s="676"/>
      <c r="DA4" s="676"/>
      <c r="DB4" s="676"/>
      <c r="DC4" s="676"/>
      <c r="DD4" s="676"/>
      <c r="DE4" s="676"/>
      <c r="DF4" s="676"/>
      <c r="DG4" s="676"/>
      <c r="DH4" s="676"/>
      <c r="DI4" s="676"/>
      <c r="DJ4" s="676"/>
      <c r="DK4" s="676"/>
      <c r="DL4" s="676"/>
      <c r="DM4" s="676"/>
      <c r="DN4" s="676"/>
      <c r="DO4" s="676"/>
      <c r="DP4" s="676"/>
      <c r="DQ4" s="676"/>
      <c r="DR4" s="676"/>
      <c r="DS4" s="676"/>
      <c r="DT4" s="676"/>
      <c r="DU4" s="676"/>
      <c r="DV4" s="676"/>
      <c r="DW4" s="676"/>
      <c r="DX4" s="676"/>
      <c r="DY4" s="676"/>
      <c r="DZ4" s="676"/>
      <c r="EA4" s="676"/>
      <c r="EB4" s="676"/>
      <c r="EC4" s="676"/>
      <c r="ED4" s="676"/>
      <c r="EE4" s="676"/>
      <c r="EF4" s="676"/>
      <c r="EG4" s="676"/>
      <c r="EH4" s="676"/>
      <c r="EI4" s="676"/>
      <c r="EJ4" s="676"/>
      <c r="EK4" s="676"/>
      <c r="EL4" s="676"/>
      <c r="EM4" s="676"/>
      <c r="EN4" s="676"/>
    </row>
    <row r="5" ht="16.5" customHeight="1">
      <c r="A5" s="479" t="s">
        <v>1044</v>
      </c>
      <c r="C5" s="677" t="s">
        <v>1045</v>
      </c>
      <c r="D5" s="124"/>
      <c r="E5" s="124"/>
      <c r="F5" s="124"/>
      <c r="G5" s="124"/>
      <c r="H5" s="678" t="s">
        <v>1046</v>
      </c>
      <c r="I5" s="124"/>
      <c r="J5" s="124"/>
      <c r="K5" s="124"/>
      <c r="L5" s="124"/>
      <c r="M5" s="124"/>
      <c r="N5" s="124"/>
      <c r="O5" s="679" t="s">
        <v>1047</v>
      </c>
      <c r="P5" s="20"/>
      <c r="Q5" s="680" t="s">
        <v>1048</v>
      </c>
      <c r="R5" s="124"/>
      <c r="S5" s="124"/>
      <c r="T5" s="124"/>
      <c r="U5" s="124"/>
      <c r="V5" s="124"/>
      <c r="W5" s="124"/>
      <c r="X5" s="124"/>
      <c r="Y5" s="124"/>
      <c r="Z5" s="124"/>
      <c r="AA5" s="124"/>
      <c r="AB5" s="124"/>
      <c r="AC5" s="124"/>
      <c r="AD5" s="681" t="s">
        <v>1049</v>
      </c>
      <c r="AE5" s="682" t="s">
        <v>1050</v>
      </c>
      <c r="AF5" s="124"/>
      <c r="AG5" s="124"/>
      <c r="AH5" s="124"/>
      <c r="AI5" s="683"/>
      <c r="AJ5" s="684" t="s">
        <v>1051</v>
      </c>
      <c r="AK5" s="124"/>
      <c r="AL5" s="124"/>
      <c r="AM5" s="124"/>
      <c r="AN5" s="124"/>
      <c r="AO5" s="685" t="s">
        <v>1052</v>
      </c>
      <c r="AP5" s="124"/>
      <c r="AQ5" s="124"/>
      <c r="AR5" s="124"/>
      <c r="AS5" s="680" t="s">
        <v>1053</v>
      </c>
      <c r="AT5" s="124"/>
      <c r="AU5" s="124"/>
      <c r="AV5" s="124"/>
      <c r="AW5" s="124"/>
      <c r="AX5" s="124"/>
      <c r="AY5" s="124"/>
      <c r="AZ5" s="686" t="s">
        <v>1054</v>
      </c>
      <c r="BA5" s="124"/>
      <c r="BB5" s="124"/>
      <c r="BC5" s="124"/>
      <c r="BD5" s="124"/>
      <c r="BE5" s="124"/>
      <c r="BF5" s="124"/>
      <c r="BG5" s="124"/>
      <c r="BH5" s="679" t="s">
        <v>1047</v>
      </c>
      <c r="BI5" s="20"/>
      <c r="BJ5" s="686" t="s">
        <v>1055</v>
      </c>
      <c r="BK5" s="124"/>
      <c r="BL5" s="687" t="s">
        <v>1056</v>
      </c>
      <c r="BM5" s="124"/>
      <c r="BN5" s="668"/>
      <c r="BO5" s="688" t="s">
        <v>1057</v>
      </c>
      <c r="BP5" s="124"/>
      <c r="BQ5" s="124"/>
      <c r="BR5" s="124"/>
      <c r="BS5" s="124"/>
      <c r="BT5" s="124"/>
      <c r="BU5" s="124"/>
      <c r="BV5" s="124"/>
      <c r="BW5" s="689" t="s">
        <v>1058</v>
      </c>
      <c r="BX5" s="124"/>
      <c r="BY5" s="124"/>
      <c r="BZ5" s="124"/>
      <c r="CA5" s="124"/>
      <c r="CB5" s="124"/>
      <c r="CC5" s="124"/>
      <c r="CD5" s="124"/>
      <c r="CE5" s="690" t="s">
        <v>1059</v>
      </c>
      <c r="CF5" s="124"/>
      <c r="CG5" s="124"/>
      <c r="CH5" s="124"/>
      <c r="CI5" s="124"/>
      <c r="CJ5" s="691" t="s">
        <v>1060</v>
      </c>
      <c r="CK5" s="124"/>
      <c r="CL5" s="124"/>
      <c r="CM5" s="124"/>
      <c r="CN5" s="124"/>
      <c r="CO5" s="124"/>
      <c r="CP5" s="683"/>
      <c r="CQ5" s="692" t="s">
        <v>1061</v>
      </c>
      <c r="CR5" s="124"/>
      <c r="CS5" s="124"/>
      <c r="CT5" s="124"/>
      <c r="CU5" s="124"/>
      <c r="CV5" s="124"/>
      <c r="CW5" s="693" t="s">
        <v>1062</v>
      </c>
      <c r="CX5" s="124"/>
      <c r="CY5" s="124"/>
      <c r="CZ5" s="124"/>
      <c r="DA5" s="124"/>
      <c r="DB5" s="124"/>
      <c r="DC5" s="124"/>
      <c r="DD5" s="124"/>
      <c r="DE5" s="124"/>
      <c r="DF5" s="668"/>
      <c r="DG5" s="694" t="s">
        <v>1063</v>
      </c>
      <c r="DH5" s="124"/>
      <c r="DI5" s="124"/>
      <c r="DJ5" s="124"/>
      <c r="DK5" s="124"/>
      <c r="DL5" s="124"/>
      <c r="DM5" s="124"/>
      <c r="DN5" s="124"/>
      <c r="DO5" s="124"/>
      <c r="DP5" s="124"/>
      <c r="DQ5" s="124"/>
      <c r="DR5" s="124"/>
      <c r="DS5" s="124"/>
      <c r="DT5" s="124"/>
      <c r="DU5" s="124"/>
      <c r="DV5" s="124"/>
      <c r="DW5" s="124"/>
      <c r="DX5" s="124"/>
      <c r="DY5" s="124"/>
      <c r="DZ5" s="124"/>
      <c r="EA5" s="124"/>
      <c r="EB5" s="695"/>
      <c r="EC5" s="695"/>
      <c r="ED5" s="695"/>
      <c r="EE5" s="695"/>
      <c r="EF5" s="695"/>
      <c r="EG5" s="695"/>
      <c r="EH5" s="695"/>
      <c r="EI5" s="695"/>
      <c r="EJ5" s="695"/>
      <c r="EK5" s="695"/>
      <c r="EL5" s="695"/>
      <c r="EM5" s="695"/>
      <c r="EN5" s="695"/>
    </row>
    <row r="6" ht="16.5" customHeight="1">
      <c r="A6" s="479" t="s">
        <v>1064</v>
      </c>
      <c r="C6" s="696" t="s">
        <v>1065</v>
      </c>
      <c r="H6" s="697" t="s">
        <v>1066</v>
      </c>
      <c r="J6" s="683"/>
      <c r="K6" s="697" t="s">
        <v>1067</v>
      </c>
      <c r="O6" s="43"/>
      <c r="P6" s="44"/>
      <c r="Q6" s="698" t="s">
        <v>1068</v>
      </c>
      <c r="R6" s="699" t="s">
        <v>1069</v>
      </c>
      <c r="U6" s="700"/>
      <c r="V6" s="699" t="s">
        <v>1070</v>
      </c>
      <c r="AA6" s="683"/>
      <c r="AB6" s="701" t="s">
        <v>1071</v>
      </c>
      <c r="AE6" s="702" t="s">
        <v>1072</v>
      </c>
      <c r="AI6" s="53"/>
      <c r="AJ6" s="703" t="s">
        <v>1073</v>
      </c>
      <c r="AO6" s="704" t="s">
        <v>1074</v>
      </c>
      <c r="AS6" s="701" t="s">
        <v>1075</v>
      </c>
      <c r="AU6" s="683"/>
      <c r="AV6" s="701" t="s">
        <v>1076</v>
      </c>
      <c r="AW6" s="700"/>
      <c r="AX6" s="699" t="s">
        <v>1077</v>
      </c>
      <c r="AZ6" s="702" t="s">
        <v>1078</v>
      </c>
      <c r="BD6" s="683"/>
      <c r="BE6" s="702" t="s">
        <v>1079</v>
      </c>
      <c r="BF6" s="705" t="s">
        <v>1080</v>
      </c>
      <c r="BH6" s="43"/>
      <c r="BI6" s="44"/>
      <c r="BJ6" s="702" t="s">
        <v>1081</v>
      </c>
      <c r="BN6" s="53"/>
      <c r="BO6" s="706" t="s">
        <v>1082</v>
      </c>
      <c r="BP6" s="330"/>
      <c r="BQ6" s="330"/>
      <c r="BR6" s="330"/>
      <c r="BS6" s="330"/>
      <c r="BT6" s="330"/>
      <c r="BU6" s="330"/>
      <c r="BV6" s="330"/>
      <c r="BW6" s="707" t="s">
        <v>1083</v>
      </c>
      <c r="CA6" s="683"/>
      <c r="CB6" s="707" t="s">
        <v>1084</v>
      </c>
      <c r="CE6" s="708" t="s">
        <v>1085</v>
      </c>
      <c r="CJ6" s="423" t="s">
        <v>1086</v>
      </c>
      <c r="CP6" s="709"/>
      <c r="CQ6" s="710" t="s">
        <v>1087</v>
      </c>
      <c r="CW6" s="711" t="s">
        <v>1088</v>
      </c>
      <c r="DF6" s="712"/>
      <c r="DG6" s="430" t="s">
        <v>1089</v>
      </c>
      <c r="DW6" s="713" t="s">
        <v>1090</v>
      </c>
      <c r="EB6" s="714"/>
      <c r="EC6" s="714"/>
      <c r="ED6" s="714"/>
      <c r="EE6" s="714"/>
      <c r="EF6" s="714"/>
      <c r="EG6" s="714"/>
      <c r="EH6" s="714"/>
      <c r="EI6" s="714"/>
      <c r="EJ6" s="714"/>
      <c r="EK6" s="714"/>
      <c r="EL6" s="714"/>
      <c r="EM6" s="714"/>
      <c r="EN6" s="714"/>
    </row>
    <row r="7" ht="12.75" customHeight="1">
      <c r="A7" s="673"/>
      <c r="B7" s="674"/>
      <c r="C7" s="673"/>
      <c r="D7" s="673"/>
      <c r="E7" s="673"/>
      <c r="F7" s="673"/>
      <c r="G7" s="673"/>
      <c r="H7" s="673"/>
      <c r="I7" s="673"/>
      <c r="J7" s="53"/>
      <c r="K7" s="673"/>
      <c r="L7" s="673"/>
      <c r="M7" s="673"/>
      <c r="N7" s="673"/>
      <c r="O7" s="43"/>
      <c r="P7" s="44"/>
      <c r="Q7" s="673"/>
      <c r="R7" s="673"/>
      <c r="S7" s="673"/>
      <c r="T7" s="673"/>
      <c r="U7" s="673"/>
      <c r="V7" s="673"/>
      <c r="W7" s="673"/>
      <c r="X7" s="673"/>
      <c r="Y7" s="673"/>
      <c r="Z7" s="673"/>
      <c r="AA7" s="53"/>
      <c r="AB7" s="673"/>
      <c r="AC7" s="673"/>
      <c r="AD7" s="673"/>
      <c r="AE7" s="673"/>
      <c r="AF7" s="673"/>
      <c r="AG7" s="673"/>
      <c r="AH7" s="673"/>
      <c r="AI7" s="53"/>
      <c r="AJ7" s="673"/>
      <c r="AK7" s="673"/>
      <c r="AL7" s="673"/>
      <c r="AM7" s="673"/>
      <c r="AN7" s="673"/>
      <c r="AO7" s="673"/>
      <c r="AP7" s="673"/>
      <c r="AQ7" s="673"/>
      <c r="AR7" s="673"/>
      <c r="AS7" s="673"/>
      <c r="AT7" s="673"/>
      <c r="AU7" s="53"/>
      <c r="AV7" s="673"/>
      <c r="AW7" s="673"/>
      <c r="AX7" s="673"/>
      <c r="AY7" s="673"/>
      <c r="AZ7" s="673"/>
      <c r="BA7" s="673"/>
      <c r="BB7" s="673"/>
      <c r="BC7" s="673"/>
      <c r="BD7" s="53"/>
      <c r="BE7" s="673"/>
      <c r="BF7" s="673"/>
      <c r="BG7" s="715"/>
      <c r="BH7" s="43"/>
      <c r="BI7" s="44"/>
      <c r="BJ7" s="716"/>
      <c r="BK7" s="673"/>
      <c r="BL7" s="673"/>
      <c r="BM7" s="673"/>
      <c r="BN7" s="53"/>
      <c r="BO7" s="673"/>
      <c r="BP7" s="673"/>
      <c r="BQ7" s="673"/>
      <c r="BR7" s="673"/>
      <c r="BS7" s="673"/>
      <c r="BT7" s="673"/>
      <c r="BU7" s="673"/>
      <c r="BV7" s="673"/>
      <c r="BW7" s="673"/>
      <c r="BX7" s="673"/>
      <c r="BY7" s="673"/>
      <c r="BZ7" s="715"/>
      <c r="CA7" s="53"/>
      <c r="CB7" s="716"/>
      <c r="CC7" s="716"/>
      <c r="CD7" s="673"/>
      <c r="CE7" s="673"/>
      <c r="CF7" s="673"/>
      <c r="CG7" s="673"/>
      <c r="CH7" s="673"/>
      <c r="CI7" s="673"/>
      <c r="CJ7" s="673"/>
      <c r="CK7" s="673"/>
      <c r="CL7" s="673"/>
      <c r="CM7" s="673"/>
      <c r="CN7" s="673"/>
      <c r="CO7" s="715"/>
      <c r="CP7" s="709"/>
      <c r="CQ7" s="716"/>
      <c r="CR7" s="673"/>
      <c r="CS7" s="673"/>
      <c r="CT7" s="673"/>
      <c r="CU7" s="673"/>
      <c r="CV7" s="673"/>
      <c r="CW7" s="673"/>
      <c r="CX7" s="673"/>
      <c r="CY7" s="673"/>
      <c r="CZ7" s="673"/>
      <c r="DA7" s="673"/>
      <c r="DB7" s="673"/>
      <c r="DC7" s="673"/>
      <c r="DD7" s="673"/>
      <c r="DE7" s="717"/>
      <c r="DF7" s="712"/>
      <c r="DG7" s="717"/>
      <c r="DH7" s="16"/>
      <c r="DI7" s="718"/>
      <c r="DJ7" s="673"/>
      <c r="DK7" s="673"/>
      <c r="DL7" s="673"/>
      <c r="DM7" s="673"/>
      <c r="DN7" s="673"/>
      <c r="DO7" s="673"/>
      <c r="DP7" s="673"/>
      <c r="DQ7" s="673"/>
      <c r="DR7" s="673"/>
      <c r="DS7" s="673"/>
      <c r="DT7" s="673"/>
      <c r="DU7" s="673"/>
      <c r="DV7" s="673"/>
      <c r="DW7" s="673"/>
      <c r="DX7" s="673"/>
      <c r="DY7" s="673"/>
      <c r="DZ7" s="673"/>
      <c r="EA7" s="673"/>
      <c r="EB7" s="673"/>
      <c r="EC7" s="673"/>
      <c r="ED7" s="673"/>
      <c r="EE7" s="673"/>
      <c r="EF7" s="673"/>
      <c r="EG7" s="673"/>
      <c r="EH7" s="673"/>
      <c r="EI7" s="673"/>
      <c r="EJ7" s="673"/>
      <c r="EK7" s="673"/>
      <c r="EL7" s="673"/>
      <c r="EM7" s="673"/>
      <c r="EN7" s="673"/>
    </row>
    <row r="8" ht="21.0" customHeight="1">
      <c r="A8" s="719" t="s">
        <v>151</v>
      </c>
      <c r="B8" s="720" t="s">
        <v>151</v>
      </c>
      <c r="C8" s="721" t="s">
        <v>1091</v>
      </c>
      <c r="H8" s="722" t="s">
        <v>1092</v>
      </c>
      <c r="J8" s="53"/>
      <c r="K8" s="722" t="s">
        <v>380</v>
      </c>
      <c r="O8" s="43"/>
      <c r="P8" s="44"/>
      <c r="Q8" s="723" t="s">
        <v>1093</v>
      </c>
      <c r="R8" s="724" t="s">
        <v>1094</v>
      </c>
      <c r="U8" s="700"/>
      <c r="V8" s="725" t="s">
        <v>1095</v>
      </c>
      <c r="AA8" s="53"/>
      <c r="AB8" s="724" t="s">
        <v>1096</v>
      </c>
      <c r="AE8" s="726" t="s">
        <v>1097</v>
      </c>
      <c r="AI8" s="53"/>
      <c r="AJ8" s="727" t="s">
        <v>1098</v>
      </c>
      <c r="AN8" s="728"/>
      <c r="AO8" s="729" t="s">
        <v>1099</v>
      </c>
      <c r="AS8" s="724" t="s">
        <v>1100</v>
      </c>
      <c r="AU8" s="53"/>
      <c r="AV8" s="724" t="s">
        <v>1101</v>
      </c>
      <c r="AX8" s="725" t="s">
        <v>1102</v>
      </c>
      <c r="AZ8" s="726" t="s">
        <v>1103</v>
      </c>
      <c r="BD8" s="53"/>
      <c r="BE8" s="726" t="s">
        <v>1104</v>
      </c>
      <c r="BF8" s="730" t="s">
        <v>1105</v>
      </c>
      <c r="BH8" s="43"/>
      <c r="BI8" s="44"/>
      <c r="BJ8" s="726" t="s">
        <v>1106</v>
      </c>
      <c r="BL8" s="687" t="s">
        <v>1056</v>
      </c>
      <c r="BM8" s="124"/>
      <c r="BN8" s="53"/>
      <c r="BO8" s="731" t="s">
        <v>159</v>
      </c>
      <c r="BP8" s="124"/>
      <c r="BQ8" s="124"/>
      <c r="BR8" s="124"/>
      <c r="BS8" s="124"/>
      <c r="BT8" s="124"/>
      <c r="BU8" s="124"/>
      <c r="BV8" s="124"/>
      <c r="BW8" s="732" t="s">
        <v>208</v>
      </c>
      <c r="CA8" s="53"/>
      <c r="CB8" s="732" t="s">
        <v>1107</v>
      </c>
      <c r="CE8" s="733" t="s">
        <v>263</v>
      </c>
      <c r="CJ8" s="734" t="s">
        <v>299</v>
      </c>
      <c r="CP8" s="709"/>
      <c r="CQ8" s="735" t="s">
        <v>643</v>
      </c>
      <c r="CW8" s="736" t="s">
        <v>380</v>
      </c>
      <c r="DF8" s="712"/>
      <c r="DG8" s="737" t="s">
        <v>678</v>
      </c>
      <c r="DW8" s="713" t="s">
        <v>1108</v>
      </c>
      <c r="EB8" s="714"/>
      <c r="EC8" s="714"/>
      <c r="ED8" s="714"/>
      <c r="EE8" s="714"/>
      <c r="EF8" s="714"/>
      <c r="EG8" s="714"/>
      <c r="EH8" s="714"/>
      <c r="EI8" s="714"/>
      <c r="EJ8" s="714"/>
      <c r="EK8" s="714"/>
      <c r="EL8" s="714"/>
      <c r="EM8" s="714"/>
      <c r="EN8" s="714"/>
    </row>
    <row r="9" ht="21.0" customHeight="1">
      <c r="B9" s="720" t="s">
        <v>86</v>
      </c>
      <c r="C9" s="721" t="s">
        <v>1109</v>
      </c>
      <c r="H9" s="722" t="s">
        <v>1110</v>
      </c>
      <c r="J9" s="21"/>
      <c r="K9" s="722" t="s">
        <v>1111</v>
      </c>
      <c r="O9" s="43"/>
      <c r="P9" s="44"/>
      <c r="Q9" s="723" t="s">
        <v>1112</v>
      </c>
      <c r="R9" s="724" t="s">
        <v>1113</v>
      </c>
      <c r="U9" s="700"/>
      <c r="V9" s="725" t="s">
        <v>1114</v>
      </c>
      <c r="AA9" s="21"/>
      <c r="AB9" s="724" t="s">
        <v>1115</v>
      </c>
      <c r="AE9" s="726" t="s">
        <v>1116</v>
      </c>
      <c r="AI9" s="53"/>
      <c r="AJ9" s="727" t="s">
        <v>1117</v>
      </c>
      <c r="AN9" s="728"/>
      <c r="AO9" s="729" t="s">
        <v>1118</v>
      </c>
      <c r="AS9" s="724" t="s">
        <v>1119</v>
      </c>
      <c r="AU9" s="21"/>
      <c r="AV9" s="724" t="s">
        <v>1120</v>
      </c>
      <c r="AX9" s="725" t="s">
        <v>1121</v>
      </c>
      <c r="AZ9" s="726" t="s">
        <v>1122</v>
      </c>
      <c r="BD9" s="21"/>
      <c r="BE9" s="726" t="s">
        <v>1112</v>
      </c>
      <c r="BF9" s="730" t="s">
        <v>1123</v>
      </c>
      <c r="BH9" s="43"/>
      <c r="BI9" s="44"/>
      <c r="BJ9" s="726" t="s">
        <v>1112</v>
      </c>
      <c r="BN9" s="53"/>
      <c r="BO9" s="738" t="s">
        <v>1124</v>
      </c>
      <c r="BW9" s="732" t="s">
        <v>1125</v>
      </c>
      <c r="CA9" s="21"/>
      <c r="CB9" s="732" t="s">
        <v>1126</v>
      </c>
      <c r="CE9" s="733" t="s">
        <v>1127</v>
      </c>
      <c r="CJ9" s="734" t="s">
        <v>1128</v>
      </c>
      <c r="CP9" s="709"/>
      <c r="CQ9" s="735" t="s">
        <v>1129</v>
      </c>
      <c r="CW9" s="736" t="s">
        <v>1130</v>
      </c>
      <c r="DF9" s="712"/>
      <c r="DG9" s="737" t="s">
        <v>1131</v>
      </c>
      <c r="DW9" s="713" t="s">
        <v>1132</v>
      </c>
      <c r="EB9" s="714"/>
      <c r="EC9" s="714"/>
      <c r="ED9" s="714"/>
      <c r="EE9" s="714"/>
      <c r="EF9" s="714"/>
      <c r="EG9" s="714"/>
      <c r="EH9" s="714"/>
      <c r="EI9" s="714"/>
      <c r="EJ9" s="714"/>
      <c r="EK9" s="714"/>
      <c r="EL9" s="714"/>
      <c r="EM9" s="714"/>
      <c r="EN9" s="714"/>
    </row>
    <row r="10" ht="22.5" customHeight="1">
      <c r="B10" s="720" t="s">
        <v>1133</v>
      </c>
      <c r="C10" s="721" t="s">
        <v>1134</v>
      </c>
      <c r="H10" s="722" t="s">
        <v>106</v>
      </c>
      <c r="O10" s="43"/>
      <c r="P10" s="44"/>
      <c r="Q10" s="724" t="s">
        <v>162</v>
      </c>
      <c r="AD10" s="739" t="s">
        <v>1112</v>
      </c>
      <c r="AE10" s="730" t="s">
        <v>229</v>
      </c>
      <c r="AI10" s="53"/>
      <c r="AJ10" s="727" t="s">
        <v>1135</v>
      </c>
      <c r="AN10" s="728"/>
      <c r="AO10" s="729" t="s">
        <v>308</v>
      </c>
      <c r="AS10" s="724" t="s">
        <v>1136</v>
      </c>
      <c r="AZ10" s="726" t="s">
        <v>229</v>
      </c>
      <c r="BH10" s="43"/>
      <c r="BI10" s="44"/>
      <c r="BJ10" s="726" t="s">
        <v>1106</v>
      </c>
      <c r="BN10" s="53"/>
      <c r="BO10" s="738" t="s">
        <v>1137</v>
      </c>
      <c r="BW10" s="732" t="s">
        <v>102</v>
      </c>
      <c r="CE10" s="733" t="s">
        <v>206</v>
      </c>
      <c r="CJ10" s="734" t="s">
        <v>32</v>
      </c>
      <c r="CP10" s="709"/>
      <c r="CQ10" s="735" t="s">
        <v>16</v>
      </c>
      <c r="CW10" s="736" t="s">
        <v>106</v>
      </c>
      <c r="DF10" s="712"/>
      <c r="DG10" s="737" t="s">
        <v>16</v>
      </c>
      <c r="EB10" s="714"/>
      <c r="EC10" s="714"/>
      <c r="ED10" s="714"/>
      <c r="EE10" s="714"/>
      <c r="EF10" s="714"/>
      <c r="EG10" s="714"/>
      <c r="EH10" s="714"/>
      <c r="EI10" s="714"/>
      <c r="EJ10" s="714"/>
      <c r="EK10" s="714"/>
      <c r="EL10" s="714"/>
      <c r="EM10" s="714"/>
      <c r="EN10" s="714"/>
    </row>
    <row r="11" ht="21.0" customHeight="1">
      <c r="B11" s="720" t="s">
        <v>1138</v>
      </c>
      <c r="C11" s="722" t="s">
        <v>106</v>
      </c>
      <c r="H11" s="740" t="s">
        <v>1139</v>
      </c>
      <c r="K11" s="741" t="s">
        <v>1140</v>
      </c>
      <c r="O11" s="43"/>
      <c r="P11" s="44"/>
      <c r="Q11" s="722" t="s">
        <v>1135</v>
      </c>
      <c r="T11" s="722" t="s">
        <v>1141</v>
      </c>
      <c r="V11" s="726" t="s">
        <v>1142</v>
      </c>
      <c r="AB11" s="739" t="s">
        <v>1143</v>
      </c>
      <c r="AD11" s="742" t="s">
        <v>1112</v>
      </c>
      <c r="AE11" s="743" t="s">
        <v>1144</v>
      </c>
      <c r="AI11" s="53"/>
      <c r="AJ11" s="724" t="s">
        <v>1112</v>
      </c>
      <c r="AK11" s="724" t="s">
        <v>162</v>
      </c>
      <c r="AO11" s="744" t="s">
        <v>1144</v>
      </c>
      <c r="AS11" s="739" t="s">
        <v>1106</v>
      </c>
      <c r="AV11" s="745" t="s">
        <v>1145</v>
      </c>
      <c r="AX11" s="727" t="s">
        <v>308</v>
      </c>
      <c r="AZ11" s="724" t="s">
        <v>294</v>
      </c>
      <c r="BD11" s="700"/>
      <c r="BE11" s="725" t="s">
        <v>1146</v>
      </c>
      <c r="BH11" s="43"/>
      <c r="BI11" s="44"/>
      <c r="BJ11" s="724" t="s">
        <v>1146</v>
      </c>
      <c r="BN11" s="53"/>
      <c r="BO11" s="746" t="s">
        <v>1147</v>
      </c>
      <c r="BW11" s="738" t="s">
        <v>1137</v>
      </c>
      <c r="CA11" s="734" t="s">
        <v>16</v>
      </c>
      <c r="CE11" s="747" t="s">
        <v>244</v>
      </c>
      <c r="CJ11" s="732" t="s">
        <v>102</v>
      </c>
      <c r="CP11" s="709"/>
      <c r="CQ11" s="748" t="s">
        <v>1112</v>
      </c>
      <c r="CR11" s="749" t="s">
        <v>306</v>
      </c>
      <c r="CW11" s="750" t="s">
        <v>102</v>
      </c>
      <c r="CZ11" s="751" t="s">
        <v>37</v>
      </c>
      <c r="DF11" s="712"/>
      <c r="DG11" s="752" t="s">
        <v>106</v>
      </c>
      <c r="DM11" s="753" t="s">
        <v>25</v>
      </c>
      <c r="DW11" s="750" t="s">
        <v>101</v>
      </c>
      <c r="EB11" s="754"/>
      <c r="EC11" s="754"/>
      <c r="ED11" s="714"/>
      <c r="EE11" s="714"/>
      <c r="EF11" s="714"/>
      <c r="EG11" s="714"/>
      <c r="EH11" s="714"/>
      <c r="EI11" s="714"/>
      <c r="EJ11" s="714"/>
      <c r="EK11" s="714"/>
      <c r="EL11" s="714"/>
      <c r="EM11" s="714"/>
      <c r="EN11" s="714"/>
    </row>
    <row r="12" ht="21.0" customHeight="1">
      <c r="B12" s="720" t="s">
        <v>1148</v>
      </c>
      <c r="C12" s="741" t="s">
        <v>1149</v>
      </c>
      <c r="H12" s="714"/>
      <c r="I12" s="714"/>
      <c r="J12" s="714"/>
      <c r="K12" s="742" t="s">
        <v>1150</v>
      </c>
      <c r="O12" s="43"/>
      <c r="P12" s="44"/>
      <c r="Q12" s="741" t="s">
        <v>1112</v>
      </c>
      <c r="R12" s="741" t="s">
        <v>1151</v>
      </c>
      <c r="V12" s="742" t="s">
        <v>1150</v>
      </c>
      <c r="W12" s="700"/>
      <c r="X12" s="755" t="s">
        <v>1145</v>
      </c>
      <c r="AD12" s="714"/>
      <c r="AE12" s="742" t="s">
        <v>1152</v>
      </c>
      <c r="AI12" s="21"/>
      <c r="AJ12" s="726" t="s">
        <v>1106</v>
      </c>
      <c r="AO12" s="756" t="s">
        <v>1153</v>
      </c>
      <c r="AV12" s="739" t="s">
        <v>1106</v>
      </c>
      <c r="AX12" s="744" t="s">
        <v>1144</v>
      </c>
      <c r="AZ12" s="727" t="s">
        <v>308</v>
      </c>
      <c r="BE12" s="757" t="s">
        <v>1154</v>
      </c>
      <c r="BH12" s="43"/>
      <c r="BI12" s="44"/>
      <c r="BJ12" s="757" t="s">
        <v>1154</v>
      </c>
      <c r="BN12" s="53"/>
      <c r="BO12" s="758" t="s">
        <v>1155</v>
      </c>
      <c r="BR12" s="759"/>
      <c r="BS12" s="760" t="s">
        <v>282</v>
      </c>
      <c r="BW12" s="761" t="s">
        <v>1112</v>
      </c>
      <c r="BX12" s="762" t="s">
        <v>244</v>
      </c>
      <c r="CA12" s="714"/>
      <c r="CB12" s="714"/>
      <c r="CC12" s="714"/>
      <c r="CD12" s="714"/>
      <c r="CE12" s="714"/>
      <c r="CF12" s="714"/>
      <c r="CG12" s="714"/>
      <c r="CH12" s="714"/>
      <c r="CI12" s="714"/>
      <c r="CJ12" s="763" t="s">
        <v>308</v>
      </c>
      <c r="CP12" s="764"/>
      <c r="CQ12" s="733" t="s">
        <v>182</v>
      </c>
      <c r="CW12" s="735" t="s">
        <v>206</v>
      </c>
      <c r="DF12" s="765"/>
      <c r="DG12" s="714"/>
      <c r="DH12" s="714"/>
      <c r="DI12" s="714"/>
      <c r="DJ12" s="714"/>
      <c r="DK12" s="714"/>
      <c r="DL12" s="714"/>
      <c r="DM12" s="714"/>
      <c r="DN12" s="714"/>
      <c r="DO12" s="714"/>
      <c r="DP12" s="714"/>
      <c r="DQ12" s="714"/>
      <c r="DR12" s="714"/>
      <c r="DS12" s="714"/>
      <c r="DT12" s="714"/>
      <c r="DU12" s="714"/>
      <c r="DV12" s="714"/>
      <c r="DW12" s="766" t="s">
        <v>48</v>
      </c>
      <c r="EB12" s="767"/>
      <c r="EC12" s="767"/>
      <c r="ED12" s="767"/>
      <c r="EE12" s="767"/>
      <c r="EF12" s="767"/>
      <c r="EG12" s="767"/>
      <c r="EH12" s="767"/>
      <c r="EI12" s="714"/>
      <c r="EJ12" s="714"/>
      <c r="EK12" s="714"/>
      <c r="EL12" s="714"/>
      <c r="EM12" s="714"/>
      <c r="EN12" s="714"/>
    </row>
    <row r="13" ht="21.0" customHeight="1">
      <c r="B13" s="720" t="s">
        <v>1156</v>
      </c>
      <c r="C13" s="714"/>
      <c r="D13" s="714"/>
      <c r="E13" s="714"/>
      <c r="F13" s="714"/>
      <c r="G13" s="714"/>
      <c r="H13" s="714"/>
      <c r="I13" s="714"/>
      <c r="J13" s="714"/>
      <c r="K13" s="714"/>
      <c r="L13" s="714"/>
      <c r="M13" s="714"/>
      <c r="N13" s="714"/>
      <c r="O13" s="26"/>
      <c r="P13" s="27"/>
      <c r="Q13" s="714"/>
      <c r="R13" s="714"/>
      <c r="S13" s="714"/>
      <c r="T13" s="714"/>
      <c r="U13" s="714"/>
      <c r="V13" s="714"/>
      <c r="W13" s="714"/>
      <c r="X13" s="714"/>
      <c r="Y13" s="714"/>
      <c r="Z13" s="714"/>
      <c r="AA13" s="714"/>
      <c r="AB13" s="714"/>
      <c r="AC13" s="714"/>
      <c r="AD13" s="714"/>
      <c r="AE13" s="714"/>
      <c r="AF13" s="714"/>
      <c r="AG13" s="714"/>
      <c r="AH13" s="714"/>
      <c r="AI13" s="714"/>
      <c r="AJ13" s="714"/>
      <c r="AK13" s="714"/>
      <c r="AL13" s="714"/>
      <c r="AM13" s="714"/>
      <c r="AN13" s="714"/>
      <c r="AO13" s="714"/>
      <c r="AP13" s="714"/>
      <c r="AQ13" s="714"/>
      <c r="AR13" s="714"/>
      <c r="AS13" s="714"/>
      <c r="AT13" s="714"/>
      <c r="AU13" s="714"/>
      <c r="AV13" s="714"/>
      <c r="AW13" s="714"/>
      <c r="AX13" s="714"/>
      <c r="AY13" s="714"/>
      <c r="AZ13" s="757" t="s">
        <v>1154</v>
      </c>
      <c r="BE13" s="714"/>
      <c r="BF13" s="714"/>
      <c r="BG13" s="714"/>
      <c r="BH13" s="26"/>
      <c r="BI13" s="27"/>
      <c r="BJ13" s="714"/>
      <c r="BK13" s="714"/>
      <c r="BN13" s="53"/>
      <c r="BO13" s="768" t="s">
        <v>1157</v>
      </c>
      <c r="BP13" s="335"/>
      <c r="BQ13" s="769" t="s">
        <v>176</v>
      </c>
      <c r="BR13" s="330"/>
      <c r="BS13" s="330"/>
      <c r="BT13" s="330"/>
      <c r="BU13" s="330"/>
      <c r="BV13" s="714"/>
      <c r="BW13" s="770" t="s">
        <v>172</v>
      </c>
      <c r="CA13" s="714"/>
      <c r="CB13" s="714"/>
      <c r="CC13" s="714"/>
      <c r="CD13" s="714"/>
      <c r="CE13" s="714"/>
      <c r="CF13" s="714"/>
      <c r="CG13" s="714"/>
      <c r="CH13" s="714"/>
      <c r="CI13" s="714"/>
      <c r="CJ13" s="743" t="s">
        <v>176</v>
      </c>
      <c r="CK13" s="714"/>
      <c r="CL13" s="714"/>
      <c r="CM13" s="714"/>
      <c r="CN13" s="714"/>
      <c r="CO13" s="714"/>
      <c r="CP13" s="714"/>
      <c r="CQ13" s="714"/>
      <c r="CR13" s="714"/>
      <c r="CS13" s="714"/>
      <c r="CT13" s="714"/>
      <c r="CU13" s="714"/>
      <c r="CV13" s="714"/>
      <c r="CW13" s="714"/>
      <c r="CX13" s="714"/>
      <c r="CY13" s="714"/>
      <c r="CZ13" s="714"/>
      <c r="DA13" s="714"/>
      <c r="DB13" s="714"/>
      <c r="DC13" s="714"/>
      <c r="DD13" s="714"/>
      <c r="DE13" s="714"/>
      <c r="DF13" s="714"/>
      <c r="DG13" s="714"/>
      <c r="DH13" s="714"/>
      <c r="DI13" s="714"/>
      <c r="DJ13" s="714"/>
      <c r="DK13" s="714"/>
      <c r="DL13" s="714"/>
      <c r="DM13" s="714"/>
      <c r="DN13" s="714"/>
      <c r="DO13" s="714"/>
      <c r="DP13" s="714"/>
      <c r="DQ13" s="714"/>
      <c r="DR13" s="714"/>
      <c r="DS13" s="714"/>
      <c r="DT13" s="714"/>
      <c r="DU13" s="714"/>
      <c r="DV13" s="714"/>
      <c r="DW13" s="714"/>
      <c r="DX13" s="714"/>
      <c r="DY13" s="714"/>
      <c r="DZ13" s="714"/>
      <c r="EA13" s="714"/>
      <c r="EB13" s="714"/>
      <c r="EC13" s="714"/>
      <c r="ED13" s="714"/>
      <c r="EE13" s="714"/>
      <c r="EF13" s="714"/>
      <c r="EG13" s="714"/>
      <c r="EH13" s="714"/>
      <c r="EI13" s="714"/>
      <c r="EJ13" s="714"/>
      <c r="EK13" s="714"/>
      <c r="EL13" s="714"/>
      <c r="EM13" s="714"/>
      <c r="EN13" s="714"/>
    </row>
    <row r="14" ht="12.75" customHeight="1">
      <c r="A14" s="673"/>
      <c r="B14" s="674"/>
      <c r="C14" s="673"/>
      <c r="D14" s="673"/>
      <c r="E14" s="673"/>
      <c r="F14" s="673"/>
      <c r="G14" s="673"/>
      <c r="H14" s="673"/>
      <c r="I14" s="673"/>
      <c r="J14" s="673"/>
      <c r="K14" s="673"/>
      <c r="L14" s="673"/>
      <c r="M14" s="673"/>
      <c r="N14" s="673"/>
      <c r="O14" s="673"/>
      <c r="P14" s="673"/>
      <c r="Q14" s="673"/>
      <c r="R14" s="673"/>
      <c r="S14" s="673"/>
      <c r="T14" s="673"/>
      <c r="U14" s="673"/>
      <c r="V14" s="673"/>
      <c r="W14" s="673"/>
      <c r="X14" s="673"/>
      <c r="Y14" s="673"/>
      <c r="Z14" s="673"/>
      <c r="AA14" s="673"/>
      <c r="AB14" s="673"/>
      <c r="AC14" s="673"/>
      <c r="AD14" s="673"/>
      <c r="AE14" s="673"/>
      <c r="AF14" s="673"/>
      <c r="AG14" s="673"/>
      <c r="AH14" s="673"/>
      <c r="AI14" s="673"/>
      <c r="AJ14" s="673"/>
      <c r="AK14" s="673"/>
      <c r="AL14" s="673"/>
      <c r="AM14" s="673"/>
      <c r="AN14" s="673"/>
      <c r="AO14" s="673"/>
      <c r="AP14" s="673"/>
      <c r="AQ14" s="673"/>
      <c r="AR14" s="673"/>
      <c r="AS14" s="673"/>
      <c r="AT14" s="673"/>
      <c r="AU14" s="673"/>
      <c r="AV14" s="673"/>
      <c r="AW14" s="673"/>
      <c r="AX14" s="673"/>
      <c r="AY14" s="673"/>
      <c r="AZ14" s="673"/>
      <c r="BA14" s="673"/>
      <c r="BB14" s="673"/>
      <c r="BC14" s="673"/>
      <c r="BD14" s="673"/>
      <c r="BE14" s="673"/>
      <c r="BF14" s="673"/>
      <c r="BG14" s="673"/>
      <c r="BH14" s="673"/>
      <c r="BI14" s="673"/>
      <c r="BJ14" s="673"/>
      <c r="BK14" s="673"/>
      <c r="BL14" s="673"/>
      <c r="BM14" s="673"/>
      <c r="BN14" s="673"/>
      <c r="BO14" s="771"/>
      <c r="BP14" s="771"/>
      <c r="BQ14" s="771"/>
      <c r="BR14" s="771"/>
      <c r="BS14" s="771"/>
      <c r="BT14" s="673"/>
      <c r="BU14" s="673"/>
      <c r="BV14" s="673"/>
      <c r="BW14" s="673"/>
      <c r="BX14" s="673"/>
      <c r="BY14" s="673"/>
      <c r="BZ14" s="673"/>
      <c r="CA14" s="673"/>
      <c r="CB14" s="673"/>
      <c r="CC14" s="673"/>
      <c r="CD14" s="673"/>
      <c r="CE14" s="673"/>
      <c r="CF14" s="673"/>
      <c r="CG14" s="673"/>
      <c r="CH14" s="673"/>
      <c r="CI14" s="673"/>
      <c r="CJ14" s="673"/>
      <c r="CK14" s="673"/>
      <c r="CL14" s="673"/>
      <c r="CM14" s="673"/>
      <c r="CN14" s="673"/>
      <c r="CO14" s="673"/>
      <c r="CP14" s="673"/>
      <c r="CQ14" s="673"/>
      <c r="CR14" s="673"/>
      <c r="CS14" s="673"/>
      <c r="CT14" s="673"/>
      <c r="CU14" s="673"/>
      <c r="CV14" s="673"/>
      <c r="CW14" s="673"/>
      <c r="CX14" s="673"/>
      <c r="CY14" s="673"/>
      <c r="CZ14" s="673"/>
      <c r="DA14" s="673"/>
      <c r="DB14" s="673"/>
      <c r="DC14" s="673"/>
      <c r="DD14" s="673"/>
      <c r="DE14" s="673"/>
      <c r="DF14" s="673"/>
      <c r="DG14" s="673"/>
      <c r="DH14" s="673"/>
      <c r="DI14" s="673"/>
      <c r="DJ14" s="673"/>
      <c r="DK14" s="673"/>
      <c r="DL14" s="673"/>
      <c r="DM14" s="673"/>
      <c r="DN14" s="673"/>
      <c r="DO14" s="673"/>
      <c r="DP14" s="673"/>
      <c r="DQ14" s="673"/>
      <c r="DR14" s="673"/>
      <c r="DS14" s="673"/>
      <c r="DT14" s="673"/>
      <c r="DU14" s="673"/>
      <c r="DV14" s="673"/>
      <c r="DW14" s="673"/>
      <c r="DX14" s="673"/>
      <c r="DY14" s="673"/>
      <c r="DZ14" s="673"/>
      <c r="EA14" s="673"/>
      <c r="EB14" s="673"/>
      <c r="EC14" s="673"/>
      <c r="ED14" s="673"/>
      <c r="EE14" s="673"/>
      <c r="EF14" s="673"/>
      <c r="EG14" s="673"/>
      <c r="EH14" s="673"/>
      <c r="EI14" s="673"/>
      <c r="EJ14" s="673"/>
      <c r="EK14" s="673"/>
      <c r="EL14" s="673"/>
      <c r="EM14" s="673"/>
      <c r="EN14" s="673"/>
    </row>
    <row r="15" ht="21.0" customHeight="1">
      <c r="A15" s="719" t="s">
        <v>191</v>
      </c>
      <c r="B15" s="720" t="s">
        <v>1158</v>
      </c>
      <c r="C15" s="347" t="s">
        <v>1159</v>
      </c>
      <c r="F15" s="772" t="s">
        <v>1112</v>
      </c>
      <c r="G15" s="722" t="s">
        <v>106</v>
      </c>
      <c r="K15" s="723" t="s">
        <v>1112</v>
      </c>
      <c r="L15" s="773" t="s">
        <v>1144</v>
      </c>
      <c r="U15" s="700"/>
      <c r="V15" s="774" t="s">
        <v>1112</v>
      </c>
      <c r="W15" s="773" t="s">
        <v>1160</v>
      </c>
      <c r="AA15" s="700"/>
      <c r="AB15" s="773" t="s">
        <v>106</v>
      </c>
      <c r="AI15" s="700"/>
      <c r="AJ15" s="773" t="s">
        <v>440</v>
      </c>
      <c r="AU15" s="700"/>
      <c r="AV15" s="773" t="s">
        <v>1153</v>
      </c>
      <c r="BK15" s="700"/>
      <c r="BL15" s="775" t="s">
        <v>106</v>
      </c>
      <c r="BM15" s="124"/>
      <c r="BN15" s="124"/>
      <c r="BO15" s="124"/>
      <c r="BP15" s="124"/>
      <c r="BQ15" s="124"/>
      <c r="BR15" s="124"/>
      <c r="BS15" s="124"/>
      <c r="BT15" s="124"/>
      <c r="BU15" s="124"/>
      <c r="BV15" s="124"/>
      <c r="BW15" s="124"/>
      <c r="BX15" s="124"/>
      <c r="BY15" s="124"/>
      <c r="BZ15" s="124"/>
      <c r="CA15" s="124"/>
      <c r="CB15" s="124"/>
      <c r="CC15" s="124"/>
      <c r="CD15" s="124"/>
      <c r="CE15" s="124"/>
      <c r="CF15" s="124"/>
      <c r="CG15" s="124"/>
      <c r="CH15" s="124"/>
      <c r="CI15" s="124"/>
      <c r="CJ15" s="124"/>
      <c r="CK15" s="124"/>
      <c r="CL15" s="124"/>
      <c r="CM15" s="124"/>
      <c r="CN15" s="124"/>
      <c r="CO15" s="124"/>
      <c r="CP15" s="124"/>
      <c r="CQ15" s="124"/>
      <c r="CR15" s="124"/>
      <c r="CS15" s="124"/>
      <c r="CT15" s="776" t="s">
        <v>244</v>
      </c>
      <c r="CU15" s="124"/>
      <c r="CV15" s="124"/>
      <c r="CW15" s="124"/>
      <c r="CX15" s="124"/>
      <c r="CY15" s="124"/>
      <c r="CZ15" s="124"/>
      <c r="DA15" s="124"/>
      <c r="DB15" s="124"/>
      <c r="DC15" s="124"/>
      <c r="DD15" s="124"/>
      <c r="DE15" s="124"/>
      <c r="DF15" s="124"/>
      <c r="DG15" s="124"/>
      <c r="DH15" s="124"/>
      <c r="DI15" s="124"/>
      <c r="DJ15" s="124"/>
      <c r="DK15" s="777"/>
      <c r="DL15" s="773" t="s">
        <v>206</v>
      </c>
      <c r="EB15" s="767"/>
      <c r="EC15" s="767"/>
      <c r="ED15" s="767"/>
      <c r="EE15" s="767"/>
      <c r="EF15" s="767"/>
      <c r="EG15" s="767"/>
      <c r="EH15" s="767"/>
      <c r="EI15" s="767"/>
      <c r="EJ15" s="767"/>
      <c r="EK15" s="767"/>
      <c r="EL15" s="767"/>
      <c r="EM15" s="767"/>
      <c r="EN15" s="767"/>
    </row>
    <row r="16" ht="21.0" customHeight="1">
      <c r="B16" s="720" t="s">
        <v>1161</v>
      </c>
      <c r="F16" s="742" t="s">
        <v>229</v>
      </c>
      <c r="K16" s="726" t="s">
        <v>229</v>
      </c>
      <c r="N16" s="743" t="s">
        <v>101</v>
      </c>
      <c r="Q16" s="722" t="s">
        <v>106</v>
      </c>
      <c r="T16" s="778" t="s">
        <v>106</v>
      </c>
      <c r="X16" s="726" t="s">
        <v>1162</v>
      </c>
      <c r="AB16" s="742" t="s">
        <v>1163</v>
      </c>
      <c r="AD16" s="779" t="s">
        <v>1164</v>
      </c>
      <c r="AE16" s="722" t="s">
        <v>308</v>
      </c>
      <c r="AJ16" s="779" t="s">
        <v>1112</v>
      </c>
      <c r="AK16" s="778" t="s">
        <v>1112</v>
      </c>
      <c r="AL16" s="779" t="s">
        <v>1112</v>
      </c>
      <c r="AM16" s="727" t="s">
        <v>100</v>
      </c>
      <c r="AQ16" s="745" t="s">
        <v>1112</v>
      </c>
      <c r="AR16" s="726" t="s">
        <v>1165</v>
      </c>
      <c r="BE16" s="780" t="s">
        <v>1166</v>
      </c>
      <c r="BL16" s="687" t="s">
        <v>1056</v>
      </c>
      <c r="BM16" s="20"/>
      <c r="BN16" s="781"/>
      <c r="BO16" s="782" t="s">
        <v>172</v>
      </c>
      <c r="BS16" s="779" t="s">
        <v>1164</v>
      </c>
      <c r="BU16" s="783"/>
      <c r="BV16" s="784" t="s">
        <v>1167</v>
      </c>
      <c r="BZ16" s="785" t="s">
        <v>1112</v>
      </c>
      <c r="CB16" s="747" t="s">
        <v>1167</v>
      </c>
      <c r="CI16" s="779" t="s">
        <v>1112</v>
      </c>
      <c r="CJ16" s="747" t="s">
        <v>206</v>
      </c>
      <c r="CP16" s="735" t="s">
        <v>206</v>
      </c>
      <c r="CV16" s="779" t="s">
        <v>1112</v>
      </c>
      <c r="CW16" s="786" t="s">
        <v>1168</v>
      </c>
      <c r="DI16" s="779" t="s">
        <v>1112</v>
      </c>
      <c r="DJ16" s="766" t="s">
        <v>201</v>
      </c>
      <c r="DP16" s="787" t="s">
        <v>1112</v>
      </c>
      <c r="DQ16" s="788" t="s">
        <v>1169</v>
      </c>
      <c r="EB16" s="789"/>
      <c r="EC16" s="789"/>
      <c r="ED16" s="789"/>
      <c r="EE16" s="789"/>
      <c r="EF16" s="789"/>
      <c r="EG16" s="789"/>
      <c r="EH16" s="789"/>
      <c r="EI16" s="789"/>
      <c r="EJ16" s="789"/>
      <c r="EK16" s="789"/>
      <c r="EL16" s="789"/>
      <c r="EM16" s="789"/>
      <c r="EN16" s="789"/>
    </row>
    <row r="17" ht="21.0" customHeight="1">
      <c r="B17" s="720" t="s">
        <v>1170</v>
      </c>
      <c r="C17" s="740" t="s">
        <v>1144</v>
      </c>
      <c r="F17" s="721" t="s">
        <v>162</v>
      </c>
      <c r="J17" s="700"/>
      <c r="K17" s="790" t="s">
        <v>1171</v>
      </c>
      <c r="M17" s="700"/>
      <c r="N17" s="790" t="s">
        <v>1172</v>
      </c>
      <c r="Q17" s="726" t="s">
        <v>1162</v>
      </c>
      <c r="X17" s="742" t="s">
        <v>1163</v>
      </c>
      <c r="AB17" s="726" t="s">
        <v>1165</v>
      </c>
      <c r="AJ17" s="714"/>
      <c r="AK17" s="727" t="s">
        <v>100</v>
      </c>
      <c r="AM17" s="791" t="s">
        <v>1112</v>
      </c>
      <c r="AN17" s="745" t="s">
        <v>1153</v>
      </c>
      <c r="AO17" s="700"/>
      <c r="AP17" s="792" t="s">
        <v>1152</v>
      </c>
      <c r="AR17" s="724" t="s">
        <v>1112</v>
      </c>
      <c r="AS17" s="793" t="s">
        <v>1166</v>
      </c>
      <c r="AZ17" s="780" t="s">
        <v>1166</v>
      </c>
      <c r="BE17" s="757" t="s">
        <v>1163</v>
      </c>
      <c r="BM17" s="44"/>
      <c r="BN17" s="794"/>
      <c r="BO17" s="795" t="s">
        <v>1173</v>
      </c>
      <c r="BV17" s="785" t="s">
        <v>244</v>
      </c>
      <c r="CB17" s="747" t="s">
        <v>244</v>
      </c>
      <c r="CJ17" s="763" t="s">
        <v>201</v>
      </c>
      <c r="CR17" s="750" t="s">
        <v>102</v>
      </c>
      <c r="CW17" s="734" t="s">
        <v>111</v>
      </c>
      <c r="DJ17" s="750" t="s">
        <v>101</v>
      </c>
      <c r="DQ17" s="714"/>
      <c r="DR17" s="737" t="s">
        <v>1018</v>
      </c>
      <c r="DW17" s="796" t="s">
        <v>1018</v>
      </c>
      <c r="EB17" s="767"/>
      <c r="EC17" s="767"/>
      <c r="ED17" s="767"/>
      <c r="EE17" s="767"/>
      <c r="EF17" s="767"/>
      <c r="EG17" s="767"/>
      <c r="EH17" s="714"/>
      <c r="EI17" s="714"/>
      <c r="EJ17" s="714"/>
      <c r="EK17" s="714"/>
      <c r="EL17" s="714"/>
      <c r="EM17" s="714"/>
      <c r="EN17" s="714"/>
    </row>
    <row r="18" ht="21.0" customHeight="1">
      <c r="B18" s="720" t="s">
        <v>1174</v>
      </c>
      <c r="C18" s="742" t="s">
        <v>229</v>
      </c>
      <c r="F18" s="721" t="s">
        <v>1171</v>
      </c>
      <c r="K18" s="714"/>
      <c r="L18" s="714"/>
      <c r="M18" s="740" t="s">
        <v>101</v>
      </c>
      <c r="N18" s="714"/>
      <c r="O18" s="714"/>
      <c r="P18" s="714"/>
      <c r="Q18" s="743" t="s">
        <v>101</v>
      </c>
      <c r="T18" s="742" t="s">
        <v>1163</v>
      </c>
      <c r="X18" s="722" t="s">
        <v>1175</v>
      </c>
      <c r="AA18" s="797"/>
      <c r="AB18" s="798" t="s">
        <v>308</v>
      </c>
      <c r="AE18" s="724" t="s">
        <v>162</v>
      </c>
      <c r="AJ18" s="714"/>
      <c r="AK18" s="724" t="s">
        <v>1112</v>
      </c>
      <c r="AM18" s="799" t="s">
        <v>1112</v>
      </c>
      <c r="AN18" s="792" t="s">
        <v>1152</v>
      </c>
      <c r="AP18" s="726" t="s">
        <v>1165</v>
      </c>
      <c r="AR18" s="800" t="s">
        <v>1176</v>
      </c>
      <c r="BA18" s="714"/>
      <c r="BB18" s="714"/>
      <c r="BC18" s="714"/>
      <c r="BD18" s="714"/>
      <c r="BE18" s="724" t="s">
        <v>294</v>
      </c>
      <c r="BM18" s="44"/>
      <c r="BN18" s="794"/>
      <c r="BO18" s="801" t="s">
        <v>1167</v>
      </c>
      <c r="BV18" s="714"/>
      <c r="BW18" s="714"/>
      <c r="BX18" s="714"/>
      <c r="BY18" s="714"/>
      <c r="BZ18" s="714"/>
      <c r="CA18" s="714"/>
      <c r="CB18" s="714"/>
      <c r="CC18" s="714"/>
      <c r="CD18" s="732" t="s">
        <v>326</v>
      </c>
      <c r="CI18" s="802" t="s">
        <v>326</v>
      </c>
      <c r="CK18" s="747" t="s">
        <v>326</v>
      </c>
      <c r="CN18" s="714"/>
      <c r="CO18" s="714"/>
      <c r="CP18" s="714"/>
      <c r="CQ18" s="714"/>
      <c r="CR18" s="735" t="s">
        <v>1112</v>
      </c>
      <c r="CS18" s="752" t="s">
        <v>25</v>
      </c>
      <c r="DG18" s="803" t="s">
        <v>116</v>
      </c>
      <c r="DQ18" s="714"/>
      <c r="DR18" s="714"/>
      <c r="DS18" s="714"/>
      <c r="DT18" s="714"/>
      <c r="DU18" s="714"/>
      <c r="DV18" s="714"/>
      <c r="DW18" s="714"/>
      <c r="DX18" s="714"/>
      <c r="DY18" s="714"/>
      <c r="DZ18" s="714"/>
      <c r="EA18" s="714"/>
      <c r="EB18" s="714"/>
      <c r="EC18" s="714"/>
      <c r="ED18" s="714"/>
      <c r="EE18" s="714"/>
      <c r="EF18" s="714"/>
      <c r="EG18" s="714"/>
      <c r="EH18" s="714"/>
      <c r="EI18" s="714"/>
      <c r="EJ18" s="714"/>
      <c r="EK18" s="714"/>
      <c r="EL18" s="714"/>
      <c r="EM18" s="714"/>
      <c r="EN18" s="714"/>
    </row>
    <row r="19" ht="21.0" customHeight="1">
      <c r="B19" s="804" t="s">
        <v>1177</v>
      </c>
      <c r="C19" s="805"/>
      <c r="D19" s="805"/>
      <c r="E19" s="805"/>
      <c r="F19" s="805"/>
      <c r="G19" s="805"/>
      <c r="H19" s="805"/>
      <c r="I19" s="805"/>
      <c r="J19" s="805"/>
      <c r="K19" s="805"/>
      <c r="L19" s="805"/>
      <c r="M19" s="805"/>
      <c r="N19" s="805"/>
      <c r="O19" s="805"/>
      <c r="P19" s="805"/>
      <c r="Q19" s="805"/>
      <c r="R19" s="805"/>
      <c r="S19" s="805"/>
      <c r="T19" s="805"/>
      <c r="U19" s="805"/>
      <c r="V19" s="805"/>
      <c r="W19" s="805"/>
      <c r="X19" s="805"/>
      <c r="Y19" s="805"/>
      <c r="Z19" s="805"/>
      <c r="AA19" s="805"/>
      <c r="AB19" s="805"/>
      <c r="AC19" s="805"/>
      <c r="AD19" s="805"/>
      <c r="AE19" s="805"/>
      <c r="AF19" s="805"/>
      <c r="AG19" s="805"/>
      <c r="AH19" s="805"/>
      <c r="AI19" s="805"/>
      <c r="AJ19" s="805"/>
      <c r="AK19" s="806" t="s">
        <v>1171</v>
      </c>
      <c r="AL19" s="330"/>
      <c r="AM19" s="805"/>
      <c r="AN19" s="805"/>
      <c r="AO19" s="805"/>
      <c r="AP19" s="805"/>
      <c r="AQ19" s="805"/>
      <c r="AR19" s="805"/>
      <c r="AS19" s="805"/>
      <c r="AT19" s="805"/>
      <c r="AU19" s="805"/>
      <c r="AV19" s="805"/>
      <c r="AW19" s="805"/>
      <c r="AX19" s="805"/>
      <c r="AY19" s="805"/>
      <c r="AZ19" s="805"/>
      <c r="BA19" s="805"/>
      <c r="BB19" s="805"/>
      <c r="BC19" s="805"/>
      <c r="BD19" s="805"/>
      <c r="BE19" s="805"/>
      <c r="BF19" s="805"/>
      <c r="BG19" s="805"/>
      <c r="BH19" s="805"/>
      <c r="BI19" s="805"/>
      <c r="BJ19" s="805"/>
      <c r="BK19" s="805"/>
      <c r="BL19" s="330"/>
      <c r="BM19" s="27"/>
      <c r="BN19" s="44"/>
      <c r="BO19" s="807" t="s">
        <v>1178</v>
      </c>
      <c r="BP19" s="330"/>
      <c r="BQ19" s="330"/>
      <c r="BR19" s="330"/>
      <c r="BS19" s="330"/>
      <c r="BT19" s="330"/>
      <c r="BU19" s="714"/>
      <c r="BV19" s="714"/>
      <c r="BW19" s="714"/>
      <c r="BX19" s="714"/>
      <c r="BY19" s="714"/>
      <c r="BZ19" s="714"/>
      <c r="CA19" s="714"/>
      <c r="CB19" s="714"/>
      <c r="CC19" s="714"/>
      <c r="CD19" s="714"/>
      <c r="CE19" s="714"/>
      <c r="CF19" s="714"/>
      <c r="CG19" s="714"/>
      <c r="CH19" s="714"/>
      <c r="CI19" s="714"/>
      <c r="CJ19" s="714"/>
      <c r="CK19" s="714"/>
      <c r="CL19" s="714"/>
      <c r="CM19" s="714"/>
      <c r="CN19" s="714"/>
      <c r="CO19" s="714"/>
      <c r="CP19" s="714"/>
      <c r="CQ19" s="714"/>
      <c r="CR19" s="714"/>
      <c r="CS19" s="714"/>
      <c r="CT19" s="714"/>
      <c r="CU19" s="714"/>
      <c r="CV19" s="714"/>
      <c r="CW19" s="735" t="s">
        <v>206</v>
      </c>
      <c r="DG19" s="714"/>
      <c r="DH19" s="714"/>
      <c r="DI19" s="714"/>
      <c r="DJ19" s="714"/>
      <c r="DK19" s="714"/>
      <c r="DL19" s="714"/>
      <c r="DM19" s="714"/>
      <c r="DN19" s="714"/>
      <c r="DO19" s="714"/>
      <c r="DP19" s="714"/>
      <c r="DQ19" s="714"/>
      <c r="DR19" s="714"/>
      <c r="DS19" s="714"/>
      <c r="DT19" s="714"/>
      <c r="DU19" s="714"/>
      <c r="DV19" s="714"/>
      <c r="DW19" s="714"/>
      <c r="DX19" s="714"/>
      <c r="DY19" s="714"/>
      <c r="DZ19" s="714"/>
      <c r="EA19" s="714"/>
      <c r="EB19" s="714"/>
      <c r="EC19" s="714"/>
      <c r="ED19" s="714"/>
      <c r="EE19" s="714"/>
      <c r="EF19" s="714"/>
      <c r="EG19" s="714"/>
      <c r="EH19" s="714"/>
      <c r="EI19" s="714"/>
      <c r="EJ19" s="714"/>
      <c r="EK19" s="714"/>
      <c r="EL19" s="714"/>
      <c r="EM19" s="714"/>
      <c r="EN19" s="714"/>
    </row>
    <row r="20" ht="12.75" customHeight="1">
      <c r="A20" s="673"/>
      <c r="B20" s="674"/>
      <c r="C20" s="808"/>
      <c r="D20" s="808"/>
      <c r="E20" s="808"/>
      <c r="F20" s="808"/>
      <c r="G20" s="808"/>
      <c r="H20" s="808"/>
      <c r="I20" s="808"/>
      <c r="J20" s="808"/>
      <c r="K20" s="808"/>
      <c r="L20" s="808"/>
      <c r="M20" s="808"/>
      <c r="N20" s="808"/>
      <c r="O20" s="808"/>
      <c r="P20" s="808"/>
      <c r="Q20" s="808"/>
      <c r="R20" s="808"/>
      <c r="S20" s="808"/>
      <c r="T20" s="808"/>
      <c r="U20" s="808"/>
      <c r="V20" s="808"/>
      <c r="W20" s="808"/>
      <c r="X20" s="808"/>
      <c r="Y20" s="808"/>
      <c r="Z20" s="808"/>
      <c r="AA20" s="808"/>
      <c r="AB20" s="808"/>
      <c r="AC20" s="808"/>
      <c r="AD20" s="808"/>
      <c r="AE20" s="808"/>
      <c r="AF20" s="808"/>
      <c r="AG20" s="808"/>
      <c r="AH20" s="808"/>
      <c r="AI20" s="808"/>
      <c r="AJ20" s="808"/>
      <c r="AK20" s="809"/>
      <c r="AL20" s="809"/>
      <c r="AM20" s="808"/>
      <c r="AN20" s="808"/>
      <c r="AO20" s="808"/>
      <c r="AP20" s="808"/>
      <c r="AQ20" s="808"/>
      <c r="AR20" s="808"/>
      <c r="AS20" s="808"/>
      <c r="AT20" s="808"/>
      <c r="AU20" s="808"/>
      <c r="AV20" s="808"/>
      <c r="AW20" s="808"/>
      <c r="AX20" s="808"/>
      <c r="AY20" s="808"/>
      <c r="AZ20" s="808"/>
      <c r="BA20" s="808"/>
      <c r="BB20" s="808"/>
      <c r="BC20" s="808"/>
      <c r="BD20" s="808"/>
      <c r="BE20" s="808"/>
      <c r="BF20" s="808"/>
      <c r="BG20" s="808"/>
      <c r="BH20" s="808"/>
      <c r="BI20" s="808"/>
      <c r="BJ20" s="673"/>
      <c r="BK20" s="673"/>
      <c r="BL20" s="675"/>
      <c r="BM20" s="675"/>
      <c r="BN20" s="673"/>
      <c r="BO20" s="673"/>
      <c r="BP20" s="673"/>
      <c r="BQ20" s="673"/>
      <c r="BR20" s="673"/>
      <c r="BS20" s="673"/>
      <c r="BT20" s="673"/>
      <c r="BU20" s="673"/>
      <c r="BV20" s="673"/>
      <c r="BW20" s="673"/>
      <c r="BX20" s="673"/>
      <c r="BY20" s="673"/>
      <c r="BZ20" s="673"/>
      <c r="CA20" s="673"/>
      <c r="CB20" s="673"/>
      <c r="CC20" s="673"/>
      <c r="CD20" s="673"/>
      <c r="CE20" s="673"/>
      <c r="CF20" s="673"/>
      <c r="CG20" s="673"/>
      <c r="CH20" s="673"/>
      <c r="CI20" s="673"/>
      <c r="CJ20" s="673"/>
      <c r="CK20" s="673"/>
      <c r="CL20" s="673"/>
      <c r="CM20" s="673"/>
      <c r="CN20" s="673"/>
      <c r="CO20" s="673"/>
      <c r="CP20" s="673"/>
      <c r="CQ20" s="673"/>
      <c r="CR20" s="673"/>
      <c r="CS20" s="673"/>
      <c r="CT20" s="673"/>
      <c r="CU20" s="673"/>
      <c r="CV20" s="673"/>
      <c r="CW20" s="673"/>
      <c r="CX20" s="673"/>
      <c r="CY20" s="673"/>
      <c r="CZ20" s="673"/>
      <c r="DA20" s="673"/>
      <c r="DB20" s="673"/>
      <c r="DC20" s="673"/>
      <c r="DD20" s="673"/>
      <c r="DE20" s="673"/>
      <c r="DF20" s="673"/>
      <c r="DG20" s="673"/>
      <c r="DH20" s="673"/>
      <c r="DI20" s="673"/>
      <c r="DJ20" s="673"/>
      <c r="DK20" s="673"/>
      <c r="DL20" s="673"/>
      <c r="DM20" s="673"/>
      <c r="DN20" s="673"/>
      <c r="DO20" s="673"/>
      <c r="DP20" s="673"/>
      <c r="DQ20" s="673"/>
      <c r="DR20" s="673"/>
      <c r="DS20" s="673"/>
      <c r="DT20" s="673"/>
      <c r="DU20" s="673"/>
      <c r="DV20" s="673"/>
      <c r="DW20" s="673"/>
      <c r="DX20" s="673"/>
      <c r="DY20" s="673"/>
      <c r="DZ20" s="673"/>
      <c r="EA20" s="673"/>
      <c r="EB20" s="673"/>
      <c r="EC20" s="673"/>
      <c r="ED20" s="673"/>
      <c r="EE20" s="673"/>
      <c r="EF20" s="673"/>
      <c r="EG20" s="673"/>
      <c r="EH20" s="673"/>
      <c r="EI20" s="673"/>
      <c r="EJ20" s="673"/>
      <c r="EK20" s="673"/>
      <c r="EL20" s="673"/>
      <c r="EM20" s="673"/>
      <c r="EN20" s="673"/>
    </row>
    <row r="21" ht="21.0" customHeight="1">
      <c r="A21" s="810" t="s">
        <v>1179</v>
      </c>
      <c r="B21" s="811" t="s">
        <v>31</v>
      </c>
      <c r="C21" s="812" t="s">
        <v>1180</v>
      </c>
      <c r="D21" s="124"/>
      <c r="E21" s="124"/>
      <c r="F21" s="124"/>
      <c r="G21" s="124"/>
      <c r="H21" s="124"/>
      <c r="I21" s="124"/>
      <c r="J21" s="124"/>
      <c r="K21" s="124"/>
      <c r="L21" s="124"/>
      <c r="M21" s="124"/>
      <c r="N21" s="124"/>
      <c r="O21" s="124"/>
      <c r="P21" s="124"/>
      <c r="Q21" s="124"/>
      <c r="R21" s="124"/>
      <c r="S21" s="124"/>
      <c r="T21" s="124"/>
      <c r="U21" s="124"/>
      <c r="V21" s="124"/>
      <c r="W21" s="124"/>
      <c r="X21" s="124"/>
      <c r="Y21" s="124"/>
      <c r="Z21" s="124"/>
      <c r="AA21" s="124"/>
      <c r="AB21" s="124"/>
      <c r="AC21" s="124"/>
      <c r="AD21" s="124"/>
      <c r="AE21" s="124"/>
      <c r="AF21" s="124"/>
      <c r="AG21" s="124"/>
      <c r="AH21" s="124"/>
      <c r="AI21" s="124"/>
      <c r="AJ21" s="124"/>
      <c r="AK21" s="124"/>
      <c r="AL21" s="124"/>
      <c r="AM21" s="124"/>
      <c r="AN21" s="124"/>
      <c r="AO21" s="124"/>
      <c r="AP21" s="124"/>
      <c r="AQ21" s="124"/>
      <c r="AR21" s="124"/>
      <c r="AS21" s="124"/>
      <c r="AT21" s="124"/>
      <c r="AU21" s="124"/>
      <c r="AV21" s="124"/>
      <c r="AW21" s="124"/>
      <c r="AX21" s="124"/>
      <c r="AY21" s="124"/>
      <c r="AZ21" s="124"/>
      <c r="BA21" s="124"/>
      <c r="BB21" s="124"/>
      <c r="BC21" s="124"/>
      <c r="BD21" s="124"/>
      <c r="BE21" s="124"/>
      <c r="BF21" s="124"/>
      <c r="BG21" s="124"/>
      <c r="BH21" s="124"/>
      <c r="BI21" s="124"/>
      <c r="BJ21" s="124"/>
      <c r="BK21" s="124"/>
      <c r="BL21" s="687" t="s">
        <v>1056</v>
      </c>
      <c r="BM21" s="124"/>
      <c r="BN21" s="712"/>
      <c r="BO21" s="758" t="s">
        <v>1178</v>
      </c>
      <c r="EB21" s="714"/>
      <c r="EC21" s="714"/>
      <c r="ED21" s="714"/>
      <c r="EE21" s="714"/>
      <c r="EF21" s="714"/>
      <c r="EG21" s="714"/>
      <c r="EH21" s="714"/>
      <c r="EI21" s="714"/>
      <c r="EJ21" s="714"/>
      <c r="EK21" s="714"/>
      <c r="EL21" s="714"/>
      <c r="EM21" s="714"/>
      <c r="EN21" s="714"/>
    </row>
    <row r="22" ht="21.0" customHeight="1">
      <c r="A22" s="813"/>
      <c r="B22" s="814" t="s">
        <v>24</v>
      </c>
      <c r="BN22" s="53"/>
      <c r="BO22" s="714"/>
      <c r="BP22" s="714"/>
      <c r="BQ22" s="714"/>
      <c r="BR22" s="714"/>
      <c r="BS22" s="714"/>
      <c r="BT22" s="714"/>
      <c r="BU22" s="815"/>
      <c r="BV22" s="714"/>
      <c r="BW22" s="714"/>
      <c r="BX22" s="714"/>
      <c r="BY22" s="714"/>
      <c r="BZ22" s="714"/>
      <c r="CA22" s="714"/>
      <c r="CB22" s="714"/>
      <c r="CC22" s="714"/>
      <c r="CD22" s="714"/>
      <c r="CE22" s="714"/>
      <c r="CF22" s="714"/>
      <c r="CG22" s="714"/>
      <c r="CH22" s="714"/>
      <c r="CI22" s="714"/>
      <c r="CJ22" s="714"/>
      <c r="CK22" s="714"/>
      <c r="CL22" s="752" t="s">
        <v>25</v>
      </c>
      <c r="EB22" s="714"/>
      <c r="EC22" s="714"/>
      <c r="ED22" s="714"/>
      <c r="EE22" s="714"/>
      <c r="EF22" s="714"/>
      <c r="EG22" s="714"/>
      <c r="EH22" s="714"/>
      <c r="EI22" s="714"/>
      <c r="EJ22" s="714"/>
      <c r="EK22" s="714"/>
      <c r="EL22" s="714"/>
      <c r="EM22" s="714"/>
      <c r="EN22" s="714"/>
    </row>
    <row r="23" ht="21.0" customHeight="1">
      <c r="A23" s="813"/>
      <c r="B23" s="816" t="s">
        <v>36</v>
      </c>
      <c r="BN23" s="53"/>
      <c r="BO23" s="714"/>
      <c r="BP23" s="714"/>
      <c r="BQ23" s="714"/>
      <c r="BR23" s="714"/>
      <c r="BS23" s="714"/>
      <c r="BT23" s="714"/>
      <c r="BU23" s="815"/>
      <c r="BV23" s="714"/>
      <c r="BW23" s="714"/>
      <c r="BX23" s="714"/>
      <c r="BY23" s="714"/>
      <c r="BZ23" s="714"/>
      <c r="CA23" s="714"/>
      <c r="CB23" s="714"/>
      <c r="CC23" s="714"/>
      <c r="CD23" s="714"/>
      <c r="CE23" s="714"/>
      <c r="CF23" s="714"/>
      <c r="CG23" s="714"/>
      <c r="CH23" s="714"/>
      <c r="CI23" s="714"/>
      <c r="CJ23" s="714"/>
      <c r="CK23" s="714"/>
      <c r="CL23" s="714"/>
      <c r="CM23" s="714"/>
      <c r="CN23" s="714"/>
      <c r="CO23" s="714"/>
      <c r="CP23" s="754"/>
      <c r="CQ23" s="750" t="s">
        <v>102</v>
      </c>
      <c r="CZ23" s="751" t="s">
        <v>37</v>
      </c>
      <c r="EB23" s="714"/>
      <c r="EC23" s="714"/>
      <c r="ED23" s="714"/>
      <c r="EE23" s="714"/>
      <c r="EF23" s="714"/>
      <c r="EG23" s="714"/>
      <c r="EH23" s="714"/>
      <c r="EI23" s="714"/>
      <c r="EJ23" s="714"/>
      <c r="EK23" s="714"/>
      <c r="EL23" s="714"/>
      <c r="EM23" s="714"/>
      <c r="EN23" s="714"/>
    </row>
    <row r="24" ht="21.0" customHeight="1">
      <c r="A24" s="813"/>
      <c r="B24" s="817" t="s">
        <v>15</v>
      </c>
      <c r="BN24" s="53"/>
      <c r="BO24" s="714"/>
      <c r="BP24" s="714"/>
      <c r="BQ24" s="714"/>
      <c r="BR24" s="714"/>
      <c r="BS24" s="714"/>
      <c r="BT24" s="714"/>
      <c r="BU24" s="815"/>
      <c r="BV24" s="714"/>
      <c r="BW24" s="714"/>
      <c r="BX24" s="714"/>
      <c r="BY24" s="714"/>
      <c r="BZ24" s="714"/>
      <c r="CA24" s="714"/>
      <c r="CB24" s="714"/>
      <c r="CC24" s="714"/>
      <c r="CD24" s="714"/>
      <c r="CE24" s="714"/>
      <c r="CF24" s="714"/>
      <c r="CG24" s="714"/>
      <c r="CH24" s="714"/>
      <c r="CI24" s="714"/>
      <c r="CJ24" s="714"/>
      <c r="CK24" s="714"/>
      <c r="CL24" s="714"/>
      <c r="CM24" s="714"/>
      <c r="CN24" s="714"/>
      <c r="CO24" s="714"/>
      <c r="CP24" s="714"/>
      <c r="CQ24" s="714"/>
      <c r="CR24" s="714"/>
      <c r="CS24" s="714"/>
      <c r="CT24" s="714"/>
      <c r="CU24" s="714"/>
      <c r="CV24" s="714"/>
      <c r="CW24" s="714"/>
      <c r="CX24" s="714"/>
      <c r="CY24" s="714"/>
      <c r="CZ24" s="714"/>
      <c r="DA24" s="714"/>
      <c r="DB24" s="714"/>
      <c r="DC24" s="714"/>
      <c r="DD24" s="714"/>
      <c r="DE24" s="737" t="s">
        <v>16</v>
      </c>
      <c r="EB24" s="714"/>
      <c r="EC24" s="714"/>
      <c r="ED24" s="714"/>
      <c r="EE24" s="714"/>
      <c r="EF24" s="714"/>
      <c r="EG24" s="714"/>
      <c r="EH24" s="714"/>
      <c r="EI24" s="714"/>
      <c r="EJ24" s="714"/>
      <c r="EK24" s="714"/>
      <c r="EL24" s="714"/>
      <c r="EM24" s="714"/>
      <c r="EN24" s="714"/>
    </row>
    <row r="25" ht="21.0" customHeight="1">
      <c r="A25" s="813"/>
      <c r="B25" s="818" t="s">
        <v>47</v>
      </c>
      <c r="BN25" s="53"/>
      <c r="BO25" s="714"/>
      <c r="BP25" s="714"/>
      <c r="BQ25" s="714"/>
      <c r="BR25" s="714"/>
      <c r="BS25" s="714"/>
      <c r="BT25" s="714"/>
      <c r="BU25" s="815"/>
      <c r="BV25" s="714"/>
      <c r="BW25" s="714"/>
      <c r="BX25" s="714"/>
      <c r="BY25" s="714"/>
      <c r="BZ25" s="714"/>
      <c r="CA25" s="714"/>
      <c r="CB25" s="714"/>
      <c r="CC25" s="714"/>
      <c r="CD25" s="714"/>
      <c r="CE25" s="714"/>
      <c r="CF25" s="714"/>
      <c r="CG25" s="714"/>
      <c r="CH25" s="714"/>
      <c r="CI25" s="714"/>
      <c r="CJ25" s="714"/>
      <c r="CK25" s="714"/>
      <c r="CL25" s="714"/>
      <c r="CM25" s="714"/>
      <c r="CN25" s="714"/>
      <c r="CO25" s="714"/>
      <c r="CP25" s="714"/>
      <c r="CQ25" s="714"/>
      <c r="CR25" s="714"/>
      <c r="CS25" s="714"/>
      <c r="CT25" s="714"/>
      <c r="CU25" s="714"/>
      <c r="CV25" s="714"/>
      <c r="CW25" s="714"/>
      <c r="CX25" s="714"/>
      <c r="CY25" s="714"/>
      <c r="CZ25" s="714"/>
      <c r="DA25" s="714"/>
      <c r="DB25" s="714"/>
      <c r="DC25" s="714"/>
      <c r="DD25" s="714"/>
      <c r="DE25" s="714"/>
      <c r="DF25" s="714"/>
      <c r="DG25" s="714"/>
      <c r="DH25" s="714"/>
      <c r="DI25" s="714"/>
      <c r="DJ25" s="767"/>
      <c r="DK25" s="766" t="s">
        <v>48</v>
      </c>
      <c r="EB25" s="714"/>
      <c r="EC25" s="714"/>
      <c r="ED25" s="714"/>
      <c r="EE25" s="714"/>
      <c r="EF25" s="714"/>
      <c r="EG25" s="714"/>
      <c r="EH25" s="714"/>
      <c r="EI25" s="714"/>
      <c r="EJ25" s="714"/>
      <c r="EK25" s="714"/>
      <c r="EL25" s="714"/>
      <c r="EM25" s="714"/>
      <c r="EN25" s="714"/>
    </row>
    <row r="26" ht="21.0" customHeight="1">
      <c r="A26" s="819"/>
      <c r="B26" s="820" t="s">
        <v>53</v>
      </c>
      <c r="BN26" s="53"/>
      <c r="BO26" s="714"/>
      <c r="BP26" s="714"/>
      <c r="BQ26" s="714"/>
      <c r="BR26" s="714"/>
      <c r="BS26" s="714"/>
      <c r="BT26" s="714"/>
      <c r="BU26" s="815"/>
      <c r="BV26" s="714"/>
      <c r="BW26" s="714"/>
      <c r="BX26" s="714"/>
      <c r="BY26" s="714"/>
      <c r="BZ26" s="714"/>
      <c r="CA26" s="714"/>
      <c r="CB26" s="714"/>
      <c r="CC26" s="714"/>
      <c r="CD26" s="714"/>
      <c r="CE26" s="714"/>
      <c r="CF26" s="714"/>
      <c r="CG26" s="714"/>
      <c r="CH26" s="714"/>
      <c r="CI26" s="714"/>
      <c r="CJ26" s="714"/>
      <c r="CK26" s="714"/>
      <c r="CL26" s="714"/>
      <c r="CM26" s="714"/>
      <c r="CN26" s="714"/>
      <c r="CO26" s="714"/>
      <c r="CP26" s="714"/>
      <c r="CQ26" s="714"/>
      <c r="CR26" s="714"/>
      <c r="CS26" s="714"/>
      <c r="CT26" s="714"/>
      <c r="CU26" s="714"/>
      <c r="CV26" s="714"/>
      <c r="CW26" s="714"/>
      <c r="CX26" s="714"/>
      <c r="CY26" s="714"/>
      <c r="CZ26" s="714"/>
      <c r="DA26" s="714"/>
      <c r="DB26" s="714"/>
      <c r="DC26" s="714"/>
      <c r="DD26" s="714"/>
      <c r="DE26" s="714"/>
      <c r="DF26" s="714"/>
      <c r="DG26" s="714"/>
      <c r="DH26" s="714"/>
      <c r="DI26" s="714"/>
      <c r="DJ26" s="767"/>
      <c r="DK26" s="767"/>
      <c r="DL26" s="767"/>
      <c r="DM26" s="767"/>
      <c r="DN26" s="767"/>
      <c r="DO26" s="767"/>
      <c r="DP26" s="767"/>
      <c r="DQ26" s="767"/>
      <c r="DR26" s="767"/>
      <c r="DS26" s="767"/>
      <c r="DT26" s="767"/>
      <c r="DU26" s="767"/>
      <c r="DV26" s="767"/>
      <c r="DW26" s="796" t="s">
        <v>1018</v>
      </c>
      <c r="EB26" s="714"/>
      <c r="EC26" s="714"/>
      <c r="ED26" s="714"/>
      <c r="EE26" s="714"/>
      <c r="EF26" s="714"/>
      <c r="EG26" s="714"/>
      <c r="EH26" s="714"/>
      <c r="EI26" s="714"/>
      <c r="EJ26" s="714"/>
      <c r="EK26" s="714"/>
      <c r="EL26" s="714"/>
      <c r="EM26" s="714"/>
      <c r="EN26" s="714"/>
    </row>
    <row r="27" ht="11.25" customHeight="1">
      <c r="A27" s="675"/>
      <c r="B27" s="674"/>
      <c r="C27" s="673"/>
      <c r="D27" s="673"/>
      <c r="E27" s="673"/>
      <c r="F27" s="673"/>
      <c r="G27" s="673"/>
      <c r="H27" s="673"/>
      <c r="I27" s="673"/>
      <c r="J27" s="673"/>
      <c r="K27" s="673"/>
      <c r="L27" s="673"/>
      <c r="M27" s="673"/>
      <c r="N27" s="673"/>
      <c r="O27" s="673"/>
      <c r="P27" s="673"/>
      <c r="Q27" s="673"/>
      <c r="R27" s="673"/>
      <c r="S27" s="673"/>
      <c r="T27" s="673"/>
      <c r="U27" s="673"/>
      <c r="V27" s="673"/>
      <c r="W27" s="673"/>
      <c r="X27" s="673"/>
      <c r="Y27" s="673"/>
      <c r="Z27" s="673"/>
      <c r="AA27" s="673"/>
      <c r="AB27" s="673"/>
      <c r="AC27" s="673"/>
      <c r="AD27" s="673"/>
      <c r="AE27" s="673"/>
      <c r="AF27" s="673"/>
      <c r="AG27" s="673"/>
      <c r="AH27" s="673"/>
      <c r="AI27" s="673"/>
      <c r="AJ27" s="673"/>
      <c r="AK27" s="673"/>
      <c r="AL27" s="673"/>
      <c r="AM27" s="673"/>
      <c r="AN27" s="673"/>
      <c r="AO27" s="673"/>
      <c r="AP27" s="673"/>
      <c r="AQ27" s="673"/>
      <c r="AR27" s="673"/>
      <c r="AS27" s="673"/>
      <c r="AT27" s="673"/>
      <c r="AU27" s="673"/>
      <c r="AV27" s="673"/>
      <c r="AW27" s="673"/>
      <c r="AX27" s="673"/>
      <c r="AY27" s="673"/>
      <c r="AZ27" s="673"/>
      <c r="BA27" s="673"/>
      <c r="BB27" s="673"/>
      <c r="BC27" s="673"/>
      <c r="BD27" s="673"/>
      <c r="BE27" s="673"/>
      <c r="BF27" s="673"/>
      <c r="BG27" s="673"/>
      <c r="BH27" s="673"/>
      <c r="BI27" s="673"/>
      <c r="BJ27" s="673"/>
      <c r="BK27" s="673"/>
      <c r="BL27" s="673"/>
      <c r="BM27" s="673"/>
      <c r="BN27" s="673"/>
      <c r="BO27" s="673"/>
      <c r="BP27" s="673"/>
      <c r="BQ27" s="673"/>
      <c r="BR27" s="673"/>
      <c r="BS27" s="673"/>
      <c r="BT27" s="673"/>
      <c r="BU27" s="673"/>
      <c r="BV27" s="673"/>
      <c r="BW27" s="673"/>
      <c r="BX27" s="673"/>
      <c r="BY27" s="673"/>
      <c r="BZ27" s="673"/>
      <c r="CA27" s="673"/>
      <c r="CB27" s="673"/>
      <c r="CC27" s="673"/>
      <c r="CD27" s="673"/>
      <c r="CE27" s="673"/>
      <c r="CF27" s="673"/>
      <c r="CG27" s="673"/>
      <c r="CH27" s="673"/>
      <c r="CI27" s="673"/>
      <c r="CJ27" s="673"/>
      <c r="CK27" s="673"/>
      <c r="CL27" s="673"/>
      <c r="CM27" s="673"/>
      <c r="CN27" s="673"/>
      <c r="CO27" s="673"/>
      <c r="CP27" s="673"/>
      <c r="CQ27" s="673"/>
      <c r="CR27" s="673"/>
      <c r="CS27" s="673"/>
      <c r="CT27" s="673"/>
      <c r="CU27" s="673"/>
      <c r="CV27" s="673"/>
      <c r="CW27" s="673"/>
      <c r="CX27" s="673"/>
      <c r="CY27" s="673"/>
      <c r="CZ27" s="673"/>
      <c r="DA27" s="673"/>
      <c r="DB27" s="673"/>
      <c r="DC27" s="673"/>
      <c r="DD27" s="673"/>
      <c r="DE27" s="673"/>
      <c r="DF27" s="673"/>
      <c r="DG27" s="673"/>
      <c r="DH27" s="673"/>
      <c r="DI27" s="673"/>
      <c r="DJ27" s="673"/>
      <c r="DK27" s="673"/>
      <c r="DL27" s="673"/>
      <c r="DM27" s="673"/>
      <c r="DN27" s="673"/>
      <c r="DO27" s="673"/>
      <c r="DP27" s="673"/>
      <c r="DQ27" s="673"/>
      <c r="DR27" s="673"/>
      <c r="DS27" s="673"/>
      <c r="DT27" s="673"/>
      <c r="DU27" s="673"/>
      <c r="DV27" s="673"/>
      <c r="DW27" s="673"/>
      <c r="DX27" s="673"/>
      <c r="DY27" s="673"/>
      <c r="DZ27" s="673"/>
      <c r="EA27" s="673"/>
      <c r="EB27" s="673"/>
      <c r="EC27" s="673"/>
      <c r="ED27" s="673"/>
      <c r="EE27" s="673"/>
      <c r="EF27" s="673"/>
      <c r="EG27" s="673"/>
      <c r="EH27" s="673"/>
      <c r="EI27" s="673"/>
      <c r="EJ27" s="673"/>
      <c r="EK27" s="673"/>
      <c r="EL27" s="673"/>
      <c r="EM27" s="673"/>
      <c r="EN27" s="673"/>
    </row>
    <row r="28" ht="21.0" customHeight="1">
      <c r="A28" s="821" t="s">
        <v>1181</v>
      </c>
      <c r="B28" s="822" t="s">
        <v>60</v>
      </c>
      <c r="C28" s="823" t="s">
        <v>1182</v>
      </c>
      <c r="D28" s="823"/>
      <c r="E28" s="823"/>
      <c r="F28" s="823"/>
      <c r="G28" s="823"/>
      <c r="H28" s="823"/>
      <c r="I28" s="823"/>
      <c r="J28" s="823"/>
      <c r="K28" s="823"/>
      <c r="L28" s="823"/>
      <c r="M28" s="823"/>
      <c r="N28" s="823"/>
      <c r="O28" s="823"/>
      <c r="P28" s="823"/>
      <c r="Q28" s="823"/>
      <c r="R28" s="823"/>
      <c r="S28" s="823"/>
      <c r="T28" s="823"/>
      <c r="U28" s="823"/>
      <c r="V28" s="823"/>
      <c r="W28" s="823"/>
      <c r="X28" s="823"/>
      <c r="Y28" s="823"/>
      <c r="Z28" s="823"/>
      <c r="AA28" s="823"/>
      <c r="AB28" s="823"/>
      <c r="AC28" s="823"/>
      <c r="AD28" s="823"/>
      <c r="AE28" s="823"/>
      <c r="AF28" s="823"/>
      <c r="AG28" s="823"/>
      <c r="AH28" s="823"/>
      <c r="AI28" s="823"/>
      <c r="AJ28" s="823"/>
      <c r="AK28" s="823"/>
      <c r="AL28" s="823"/>
      <c r="AM28" s="823"/>
      <c r="AN28" s="823"/>
      <c r="AO28" s="823"/>
      <c r="AP28" s="823"/>
      <c r="AQ28" s="823"/>
      <c r="AR28" s="823"/>
      <c r="AS28" s="823"/>
      <c r="AT28" s="823"/>
      <c r="AU28" s="823"/>
      <c r="AV28" s="823"/>
      <c r="AW28" s="823"/>
      <c r="AX28" s="823"/>
      <c r="AY28" s="823"/>
      <c r="AZ28" s="823"/>
      <c r="BA28" s="823"/>
      <c r="BB28" s="823"/>
      <c r="BC28" s="823"/>
      <c r="BD28" s="823"/>
      <c r="BE28" s="823"/>
      <c r="BF28" s="823"/>
      <c r="BG28" s="823"/>
      <c r="BH28" s="823"/>
      <c r="BI28" s="823"/>
      <c r="BJ28" s="823"/>
      <c r="BK28" s="823"/>
      <c r="BL28" s="687" t="s">
        <v>1056</v>
      </c>
      <c r="BM28" s="687"/>
      <c r="BN28" s="668"/>
      <c r="BO28" s="714"/>
      <c r="BP28" s="714"/>
      <c r="BQ28" s="714"/>
      <c r="BR28" s="714"/>
      <c r="BS28" s="714"/>
      <c r="BT28" s="714"/>
      <c r="BU28" s="714"/>
      <c r="BV28" s="714"/>
      <c r="BW28" s="714"/>
      <c r="BX28" s="714"/>
      <c r="BY28" s="714"/>
      <c r="BZ28" s="714"/>
      <c r="CA28" s="714"/>
      <c r="CB28" s="714"/>
      <c r="CC28" s="714"/>
      <c r="CD28" s="714"/>
      <c r="CE28" s="714"/>
      <c r="CF28" s="714"/>
      <c r="CG28" s="714"/>
      <c r="CH28" s="714"/>
      <c r="CI28" s="714"/>
      <c r="CJ28" s="714"/>
      <c r="CK28" s="714"/>
      <c r="CL28" s="714"/>
      <c r="CM28" s="714"/>
      <c r="CN28" s="714"/>
      <c r="CO28" s="714"/>
      <c r="CP28" s="714"/>
      <c r="CQ28" s="714"/>
      <c r="CR28" s="714"/>
      <c r="CS28" s="714"/>
      <c r="CT28" s="714"/>
      <c r="CU28" s="714"/>
      <c r="CV28" s="714"/>
      <c r="CW28" s="714"/>
      <c r="CX28" s="714"/>
      <c r="CY28" s="714"/>
      <c r="CZ28" s="714"/>
      <c r="DA28" s="714"/>
      <c r="DB28" s="714"/>
      <c r="DC28" s="714"/>
      <c r="DD28" s="714"/>
      <c r="DE28" s="714"/>
      <c r="DF28" s="714"/>
      <c r="DG28" s="714"/>
      <c r="DH28" s="714"/>
      <c r="DI28" s="714"/>
      <c r="DJ28" s="824"/>
      <c r="DK28" s="825"/>
      <c r="DL28" s="826" t="s">
        <v>62</v>
      </c>
      <c r="EB28" s="714"/>
      <c r="EC28" s="714"/>
      <c r="ED28" s="714"/>
      <c r="EE28" s="714"/>
      <c r="EF28" s="714"/>
      <c r="EG28" s="714"/>
      <c r="EH28" s="714"/>
      <c r="EI28" s="714"/>
      <c r="EJ28" s="714"/>
      <c r="EK28" s="714"/>
      <c r="EL28" s="714"/>
      <c r="EM28" s="714"/>
      <c r="EN28" s="714"/>
    </row>
    <row r="29" ht="11.25" customHeight="1">
      <c r="A29" s="675"/>
      <c r="B29" s="674"/>
      <c r="C29" s="673"/>
      <c r="D29" s="673"/>
      <c r="E29" s="673"/>
      <c r="F29" s="673"/>
      <c r="G29" s="673"/>
      <c r="H29" s="673"/>
      <c r="I29" s="673"/>
      <c r="J29" s="673"/>
      <c r="K29" s="673"/>
      <c r="L29" s="673"/>
      <c r="M29" s="673"/>
      <c r="N29" s="673"/>
      <c r="O29" s="673"/>
      <c r="P29" s="673"/>
      <c r="Q29" s="673"/>
      <c r="R29" s="673"/>
      <c r="S29" s="673"/>
      <c r="T29" s="673"/>
      <c r="U29" s="673"/>
      <c r="V29" s="673"/>
      <c r="W29" s="673"/>
      <c r="X29" s="673"/>
      <c r="Y29" s="673"/>
      <c r="Z29" s="673"/>
      <c r="AA29" s="673"/>
      <c r="AB29" s="673"/>
      <c r="AC29" s="673"/>
      <c r="AD29" s="673"/>
      <c r="AE29" s="673"/>
      <c r="AF29" s="673"/>
      <c r="AG29" s="673"/>
      <c r="AH29" s="673"/>
      <c r="AI29" s="673"/>
      <c r="AJ29" s="673"/>
      <c r="AK29" s="673"/>
      <c r="AL29" s="673"/>
      <c r="AM29" s="673"/>
      <c r="AN29" s="673"/>
      <c r="AO29" s="673"/>
      <c r="AP29" s="673"/>
      <c r="AQ29" s="673"/>
      <c r="AR29" s="673"/>
      <c r="AS29" s="673"/>
      <c r="AT29" s="673"/>
      <c r="AU29" s="673"/>
      <c r="AV29" s="673"/>
      <c r="AW29" s="673"/>
      <c r="AX29" s="673"/>
      <c r="AY29" s="673"/>
      <c r="AZ29" s="673"/>
      <c r="BA29" s="673"/>
      <c r="BB29" s="673"/>
      <c r="BC29" s="673"/>
      <c r="BD29" s="673"/>
      <c r="BE29" s="673"/>
      <c r="BF29" s="673"/>
      <c r="BG29" s="673"/>
      <c r="BH29" s="673"/>
      <c r="BI29" s="673"/>
      <c r="BJ29" s="673"/>
      <c r="BK29" s="673"/>
      <c r="BL29" s="673"/>
      <c r="BM29" s="673"/>
      <c r="BN29" s="673"/>
      <c r="BO29" s="673"/>
      <c r="BP29" s="673"/>
      <c r="BQ29" s="673"/>
      <c r="BR29" s="673"/>
      <c r="BS29" s="673"/>
      <c r="BT29" s="673"/>
      <c r="BU29" s="673"/>
      <c r="BV29" s="673"/>
      <c r="BW29" s="673"/>
      <c r="BX29" s="673"/>
      <c r="BY29" s="673"/>
      <c r="BZ29" s="673"/>
      <c r="CA29" s="673"/>
      <c r="CB29" s="673"/>
      <c r="CC29" s="673"/>
      <c r="CD29" s="673"/>
      <c r="CE29" s="673"/>
      <c r="CF29" s="673"/>
      <c r="CG29" s="673"/>
      <c r="CH29" s="673"/>
      <c r="CI29" s="673"/>
      <c r="CJ29" s="673"/>
      <c r="CK29" s="673"/>
      <c r="CL29" s="673"/>
      <c r="CM29" s="673"/>
      <c r="CN29" s="673"/>
      <c r="CO29" s="673"/>
      <c r="CP29" s="673"/>
      <c r="CQ29" s="673"/>
      <c r="CR29" s="673"/>
      <c r="CS29" s="673"/>
      <c r="CT29" s="673"/>
      <c r="CU29" s="673"/>
      <c r="CV29" s="673"/>
      <c r="CW29" s="673"/>
      <c r="CX29" s="673"/>
      <c r="CY29" s="673"/>
      <c r="CZ29" s="673"/>
      <c r="DA29" s="673"/>
      <c r="DB29" s="673"/>
      <c r="DC29" s="673"/>
      <c r="DD29" s="673"/>
      <c r="DE29" s="673"/>
      <c r="DF29" s="673"/>
      <c r="DG29" s="673"/>
      <c r="DH29" s="673"/>
      <c r="DI29" s="673"/>
      <c r="DJ29" s="673"/>
      <c r="DK29" s="673"/>
      <c r="DL29" s="673"/>
      <c r="DM29" s="673"/>
      <c r="DN29" s="673"/>
      <c r="DO29" s="673"/>
      <c r="DP29" s="673"/>
      <c r="DQ29" s="673"/>
      <c r="DR29" s="673"/>
      <c r="DS29" s="673"/>
      <c r="DT29" s="673"/>
      <c r="DU29" s="673"/>
      <c r="DV29" s="673"/>
      <c r="DW29" s="673"/>
      <c r="DX29" s="673"/>
      <c r="DY29" s="673"/>
      <c r="DZ29" s="673"/>
      <c r="EA29" s="673"/>
      <c r="EB29" s="673"/>
      <c r="EC29" s="673"/>
      <c r="ED29" s="673"/>
      <c r="EE29" s="673"/>
      <c r="EF29" s="673"/>
      <c r="EG29" s="673"/>
      <c r="EH29" s="673"/>
      <c r="EI29" s="673"/>
      <c r="EJ29" s="673"/>
      <c r="EK29" s="673"/>
      <c r="EL29" s="673"/>
      <c r="EM29" s="673"/>
      <c r="EN29" s="673"/>
    </row>
    <row r="30" ht="21.0" customHeight="1">
      <c r="A30" s="810" t="s">
        <v>1183</v>
      </c>
      <c r="B30" s="827" t="s">
        <v>1184</v>
      </c>
      <c r="C30" s="828" t="s">
        <v>1185</v>
      </c>
      <c r="F30" s="829" t="s">
        <v>1186</v>
      </c>
      <c r="G30" s="829"/>
      <c r="H30" s="829"/>
      <c r="I30" s="714"/>
      <c r="J30" s="714"/>
      <c r="K30" s="714"/>
      <c r="L30" s="714"/>
      <c r="M30" s="714"/>
      <c r="N30" s="714"/>
      <c r="O30" s="714"/>
      <c r="P30" s="714"/>
      <c r="Q30" s="714"/>
      <c r="R30" s="714"/>
      <c r="S30" s="714"/>
      <c r="T30" s="714"/>
      <c r="U30" s="714"/>
      <c r="V30" s="714"/>
      <c r="W30" s="714"/>
      <c r="X30" s="714"/>
      <c r="Y30" s="714"/>
      <c r="Z30" s="714"/>
      <c r="AA30" s="714"/>
      <c r="AB30" s="714"/>
      <c r="AC30" s="714"/>
      <c r="AD30" s="714"/>
      <c r="AE30" s="714"/>
      <c r="AF30" s="714"/>
      <c r="AG30" s="714"/>
      <c r="AH30" s="714"/>
      <c r="AI30" s="714"/>
      <c r="AJ30" s="714"/>
      <c r="AK30" s="714"/>
      <c r="AL30" s="714"/>
      <c r="AM30" s="714"/>
      <c r="AN30" s="714"/>
      <c r="AO30" s="714"/>
      <c r="AP30" s="714"/>
      <c r="AQ30" s="714"/>
      <c r="AR30" s="714"/>
      <c r="AS30" s="714"/>
      <c r="AT30" s="714"/>
      <c r="AU30" s="714"/>
      <c r="AV30" s="714"/>
      <c r="AW30" s="714"/>
      <c r="AX30" s="714"/>
      <c r="AY30" s="714"/>
      <c r="AZ30" s="714"/>
      <c r="BA30" s="714"/>
      <c r="BB30" s="714"/>
      <c r="BC30" s="714"/>
      <c r="BD30" s="714"/>
      <c r="BE30" s="714"/>
      <c r="BF30" s="714"/>
      <c r="BG30" s="714"/>
      <c r="BH30" s="714"/>
      <c r="BI30" s="714"/>
      <c r="BJ30" s="714"/>
      <c r="BK30" s="714"/>
      <c r="BL30" s="714"/>
      <c r="BM30" s="714"/>
      <c r="BN30" s="714"/>
      <c r="BO30" s="714"/>
      <c r="BP30" s="714"/>
      <c r="BQ30" s="714"/>
      <c r="BR30" s="714"/>
      <c r="BS30" s="714"/>
      <c r="BT30" s="714"/>
      <c r="BU30" s="714"/>
      <c r="BV30" s="714"/>
      <c r="BW30" s="714"/>
      <c r="BX30" s="714"/>
      <c r="BY30" s="714"/>
      <c r="BZ30" s="714"/>
      <c r="CA30" s="714"/>
      <c r="CB30" s="714"/>
      <c r="CC30" s="714"/>
      <c r="CD30" s="714"/>
      <c r="CE30" s="714"/>
      <c r="CF30" s="714"/>
      <c r="CG30" s="714"/>
      <c r="CH30" s="714"/>
      <c r="CI30" s="714"/>
      <c r="CJ30" s="714"/>
      <c r="CK30" s="714"/>
      <c r="CL30" s="714"/>
      <c r="CM30" s="714"/>
      <c r="CN30" s="714"/>
      <c r="CO30" s="714"/>
      <c r="CP30" s="714"/>
      <c r="CQ30" s="714"/>
      <c r="CR30" s="714"/>
      <c r="CS30" s="714"/>
      <c r="CT30" s="714"/>
      <c r="CU30" s="714"/>
      <c r="CV30" s="714"/>
      <c r="CW30" s="714"/>
      <c r="CX30" s="714"/>
      <c r="CY30" s="714"/>
      <c r="CZ30" s="714"/>
      <c r="DA30" s="714"/>
      <c r="DB30" s="714"/>
      <c r="DC30" s="714"/>
      <c r="DD30" s="714"/>
      <c r="DE30" s="714"/>
      <c r="DF30" s="714"/>
      <c r="DG30" s="714"/>
      <c r="DH30" s="714"/>
      <c r="DI30" s="714"/>
      <c r="DJ30" s="714"/>
      <c r="DK30" s="714"/>
      <c r="DL30" s="714"/>
      <c r="DM30" s="714"/>
      <c r="DN30" s="714"/>
      <c r="DO30" s="714"/>
      <c r="DP30" s="714"/>
      <c r="DQ30" s="714"/>
      <c r="DR30" s="714"/>
      <c r="DS30" s="714"/>
      <c r="DT30" s="714"/>
      <c r="DU30" s="714"/>
      <c r="DV30" s="714"/>
      <c r="DW30" s="714"/>
      <c r="DX30" s="714"/>
      <c r="DY30" s="714"/>
      <c r="DZ30" s="714"/>
      <c r="EA30" s="714"/>
      <c r="EB30" s="714"/>
      <c r="EC30" s="714"/>
      <c r="ED30" s="714"/>
      <c r="EE30" s="714"/>
      <c r="EF30" s="714"/>
      <c r="EG30" s="714"/>
      <c r="EH30" s="714"/>
      <c r="EI30" s="714"/>
      <c r="EJ30" s="714"/>
      <c r="EK30" s="714"/>
      <c r="EL30" s="714"/>
      <c r="EM30" s="714"/>
      <c r="EN30" s="714"/>
    </row>
    <row r="31" ht="21.0" customHeight="1">
      <c r="A31" s="813"/>
      <c r="B31" s="830" t="s">
        <v>31</v>
      </c>
      <c r="C31" s="740" t="s">
        <v>1144</v>
      </c>
      <c r="H31" s="831" t="s">
        <v>1139</v>
      </c>
      <c r="I31" s="829" t="s">
        <v>1187</v>
      </c>
      <c r="L31" s="714"/>
      <c r="M31" s="714"/>
      <c r="N31" s="714"/>
      <c r="O31" s="714"/>
      <c r="P31" s="714"/>
      <c r="Q31" s="714"/>
      <c r="R31" s="714"/>
      <c r="S31" s="714"/>
      <c r="T31" s="714"/>
      <c r="U31" s="714"/>
      <c r="V31" s="714"/>
      <c r="W31" s="714"/>
      <c r="X31" s="714"/>
      <c r="Y31" s="714"/>
      <c r="Z31" s="714"/>
      <c r="AA31" s="714"/>
      <c r="AB31" s="714"/>
      <c r="AC31" s="714"/>
      <c r="AD31" s="714"/>
      <c r="AE31" s="714"/>
      <c r="AF31" s="714"/>
      <c r="AG31" s="714"/>
      <c r="AH31" s="714"/>
      <c r="AI31" s="714"/>
      <c r="AJ31" s="714"/>
      <c r="AK31" s="714"/>
      <c r="AL31" s="714"/>
      <c r="AM31" s="714"/>
      <c r="AN31" s="714"/>
      <c r="AO31" s="714"/>
      <c r="AP31" s="714"/>
      <c r="AQ31" s="714"/>
      <c r="AR31" s="714"/>
      <c r="AS31" s="714"/>
      <c r="AT31" s="714"/>
      <c r="AU31" s="714"/>
      <c r="AV31" s="714"/>
      <c r="AW31" s="714"/>
      <c r="AX31" s="714"/>
      <c r="AY31" s="714"/>
      <c r="AZ31" s="714"/>
      <c r="BA31" s="714"/>
      <c r="BB31" s="714"/>
      <c r="BC31" s="714"/>
      <c r="BD31" s="714"/>
      <c r="BE31" s="714"/>
      <c r="BF31" s="714"/>
      <c r="BG31" s="714"/>
      <c r="BH31" s="714"/>
      <c r="BI31" s="714"/>
      <c r="BJ31" s="714"/>
      <c r="BK31" s="714"/>
      <c r="BL31" s="714"/>
      <c r="BM31" s="714"/>
      <c r="BN31" s="714"/>
      <c r="BO31" s="714"/>
      <c r="BP31" s="714"/>
      <c r="BQ31" s="714"/>
      <c r="BR31" s="714"/>
      <c r="BS31" s="714"/>
      <c r="BT31" s="714"/>
      <c r="BU31" s="714"/>
      <c r="BV31" s="714"/>
      <c r="BW31" s="714"/>
      <c r="BX31" s="714"/>
      <c r="BY31" s="714"/>
      <c r="BZ31" s="714"/>
      <c r="CA31" s="714"/>
      <c r="CB31" s="714"/>
      <c r="CC31" s="714"/>
      <c r="CD31" s="714"/>
      <c r="CE31" s="714"/>
      <c r="CF31" s="714"/>
      <c r="CG31" s="714"/>
      <c r="CH31" s="714"/>
      <c r="CI31" s="714"/>
      <c r="CJ31" s="714"/>
      <c r="CK31" s="714"/>
      <c r="CL31" s="714"/>
      <c r="CM31" s="714"/>
      <c r="CN31" s="714"/>
      <c r="CO31" s="714"/>
      <c r="CP31" s="714"/>
      <c r="CQ31" s="714"/>
      <c r="CR31" s="714"/>
      <c r="CS31" s="714"/>
      <c r="CT31" s="714"/>
      <c r="CU31" s="714"/>
      <c r="CV31" s="714"/>
      <c r="CW31" s="714"/>
      <c r="CX31" s="714"/>
      <c r="CY31" s="714"/>
      <c r="CZ31" s="714"/>
      <c r="DA31" s="714"/>
      <c r="DB31" s="714"/>
      <c r="DC31" s="714"/>
      <c r="DD31" s="714"/>
      <c r="DE31" s="714"/>
      <c r="DF31" s="714"/>
      <c r="DG31" s="714"/>
      <c r="DH31" s="714"/>
      <c r="DI31" s="714"/>
      <c r="DJ31" s="714"/>
      <c r="DK31" s="714"/>
      <c r="DL31" s="714"/>
      <c r="DM31" s="714"/>
      <c r="DN31" s="714"/>
      <c r="DO31" s="714"/>
      <c r="DP31" s="714"/>
      <c r="DQ31" s="714"/>
      <c r="DR31" s="714"/>
      <c r="DS31" s="714"/>
      <c r="DT31" s="714"/>
      <c r="DU31" s="714"/>
      <c r="DV31" s="714"/>
      <c r="DW31" s="714"/>
      <c r="DX31" s="714"/>
      <c r="DY31" s="714"/>
      <c r="DZ31" s="714"/>
      <c r="EA31" s="714"/>
      <c r="EB31" s="714"/>
      <c r="EC31" s="714"/>
      <c r="ED31" s="714"/>
      <c r="EE31" s="714"/>
      <c r="EF31" s="714"/>
      <c r="EG31" s="714"/>
      <c r="EH31" s="714"/>
      <c r="EI31" s="714"/>
      <c r="EJ31" s="714"/>
      <c r="EK31" s="714"/>
      <c r="EL31" s="714"/>
      <c r="EM31" s="714"/>
      <c r="EN31" s="714"/>
    </row>
    <row r="32" ht="21.0" customHeight="1">
      <c r="A32" s="813"/>
      <c r="B32" s="832" t="s">
        <v>1188</v>
      </c>
      <c r="C32" s="743" t="s">
        <v>1139</v>
      </c>
      <c r="H32" s="833"/>
      <c r="L32" s="834"/>
      <c r="M32" s="815" t="s">
        <v>1189</v>
      </c>
      <c r="N32" s="743" t="s">
        <v>1139</v>
      </c>
      <c r="P32" s="835"/>
      <c r="Q32" s="836" t="s">
        <v>101</v>
      </c>
      <c r="S32" s="835"/>
      <c r="T32" s="836" t="s">
        <v>1190</v>
      </c>
      <c r="AA32" s="835"/>
      <c r="AB32" s="836" t="s">
        <v>1191</v>
      </c>
      <c r="AI32" s="835"/>
      <c r="AJ32" s="836" t="s">
        <v>1144</v>
      </c>
      <c r="AO32" s="829" t="s">
        <v>1192</v>
      </c>
      <c r="AP32" s="834"/>
      <c r="AQ32" s="834"/>
      <c r="AR32" s="834"/>
      <c r="AS32" s="714"/>
      <c r="AT32" s="714"/>
      <c r="AU32" s="714"/>
      <c r="AV32" s="714"/>
      <c r="AW32" s="714"/>
      <c r="AX32" s="714"/>
      <c r="AY32" s="714"/>
      <c r="AZ32" s="714"/>
      <c r="BA32" s="714"/>
      <c r="BB32" s="714"/>
      <c r="BC32" s="714"/>
      <c r="BD32" s="714"/>
      <c r="BE32" s="714"/>
      <c r="BF32" s="714"/>
      <c r="BG32" s="714"/>
      <c r="BH32" s="714"/>
      <c r="BI32" s="714"/>
      <c r="BJ32" s="714"/>
      <c r="BK32" s="714"/>
      <c r="BL32" s="714"/>
      <c r="BM32" s="714"/>
      <c r="BN32" s="714"/>
      <c r="BO32" s="714"/>
      <c r="BP32" s="714"/>
      <c r="BQ32" s="714"/>
      <c r="BR32" s="714"/>
      <c r="BS32" s="714"/>
      <c r="BT32" s="714"/>
      <c r="BU32" s="714"/>
      <c r="BV32" s="714"/>
      <c r="BW32" s="714"/>
      <c r="BX32" s="714"/>
      <c r="BY32" s="714"/>
      <c r="BZ32" s="714"/>
      <c r="CA32" s="714"/>
      <c r="CB32" s="714"/>
      <c r="CC32" s="714"/>
      <c r="CD32" s="714"/>
      <c r="CE32" s="714"/>
      <c r="CF32" s="714"/>
      <c r="CG32" s="714"/>
      <c r="CH32" s="714"/>
      <c r="CI32" s="714"/>
      <c r="CJ32" s="714"/>
      <c r="CK32" s="714"/>
      <c r="CL32" s="714"/>
      <c r="CM32" s="714"/>
      <c r="CN32" s="714"/>
      <c r="CO32" s="714"/>
      <c r="CP32" s="714"/>
      <c r="CQ32" s="714"/>
      <c r="CR32" s="714"/>
      <c r="CS32" s="714"/>
      <c r="CT32" s="714"/>
      <c r="CU32" s="714"/>
      <c r="CV32" s="714"/>
      <c r="CW32" s="714"/>
      <c r="CX32" s="714"/>
      <c r="CY32" s="714"/>
      <c r="CZ32" s="714"/>
      <c r="DA32" s="714"/>
      <c r="DB32" s="714"/>
      <c r="DC32" s="714"/>
      <c r="DD32" s="714"/>
      <c r="DE32" s="714"/>
      <c r="DF32" s="714"/>
      <c r="DG32" s="714"/>
      <c r="DH32" s="714"/>
      <c r="DI32" s="714"/>
      <c r="DJ32" s="714"/>
      <c r="DK32" s="714"/>
      <c r="DL32" s="714"/>
      <c r="DM32" s="714"/>
      <c r="DN32" s="714"/>
      <c r="DO32" s="714"/>
      <c r="DP32" s="714"/>
      <c r="DQ32" s="714"/>
      <c r="DR32" s="714"/>
      <c r="DS32" s="714"/>
      <c r="DT32" s="714"/>
      <c r="DU32" s="714"/>
      <c r="DV32" s="714"/>
      <c r="DW32" s="714"/>
      <c r="DX32" s="714"/>
      <c r="DY32" s="714"/>
      <c r="DZ32" s="714"/>
      <c r="EA32" s="714"/>
      <c r="EB32" s="714"/>
      <c r="EC32" s="714"/>
      <c r="ED32" s="714"/>
      <c r="EE32" s="714"/>
      <c r="EF32" s="714"/>
      <c r="EG32" s="714"/>
      <c r="EH32" s="714"/>
      <c r="EI32" s="714"/>
      <c r="EJ32" s="714"/>
      <c r="EK32" s="714"/>
      <c r="EL32" s="714"/>
      <c r="EM32" s="714"/>
      <c r="EN32" s="714"/>
    </row>
    <row r="33" ht="21.0" customHeight="1">
      <c r="A33" s="813"/>
      <c r="B33" s="830" t="s">
        <v>1193</v>
      </c>
      <c r="C33" s="837"/>
      <c r="D33" s="837"/>
      <c r="E33" s="837"/>
      <c r="F33" s="837"/>
      <c r="G33" s="837"/>
      <c r="H33" s="815" t="s">
        <v>1194</v>
      </c>
      <c r="I33" s="740" t="s">
        <v>1144</v>
      </c>
      <c r="N33" s="829" t="s">
        <v>1195</v>
      </c>
      <c r="O33" s="834"/>
      <c r="P33" s="714"/>
      <c r="Q33" s="714"/>
      <c r="R33" s="714"/>
      <c r="S33" s="714"/>
      <c r="T33" s="714"/>
      <c r="U33" s="714"/>
      <c r="V33" s="714"/>
      <c r="W33" s="714"/>
      <c r="X33" s="714"/>
      <c r="Y33" s="714"/>
      <c r="Z33" s="714"/>
      <c r="AA33" s="714"/>
      <c r="AB33" s="714"/>
      <c r="AC33" s="714"/>
      <c r="AD33" s="714"/>
      <c r="AE33" s="714"/>
      <c r="AF33" s="714"/>
      <c r="AG33" s="714"/>
      <c r="AH33" s="714"/>
      <c r="AI33" s="714"/>
      <c r="AJ33" s="714"/>
      <c r="AK33" s="714"/>
      <c r="AL33" s="714"/>
      <c r="AM33" s="714"/>
      <c r="AN33" s="714"/>
      <c r="AO33" s="714"/>
      <c r="AP33" s="714"/>
      <c r="AQ33" s="714"/>
      <c r="AR33" s="714"/>
      <c r="AS33" s="714"/>
      <c r="AT33" s="714"/>
      <c r="AU33" s="714"/>
      <c r="AV33" s="714"/>
      <c r="AW33" s="714"/>
      <c r="AX33" s="714"/>
      <c r="AY33" s="714"/>
      <c r="AZ33" s="714"/>
      <c r="BA33" s="714"/>
      <c r="BB33" s="714"/>
      <c r="BC33" s="714"/>
      <c r="BD33" s="714"/>
      <c r="BE33" s="714"/>
      <c r="BF33" s="714"/>
      <c r="BG33" s="714"/>
      <c r="BH33" s="714"/>
      <c r="BI33" s="714"/>
      <c r="BJ33" s="714"/>
      <c r="BK33" s="714"/>
      <c r="BL33" s="714"/>
      <c r="BM33" s="714"/>
      <c r="BN33" s="714"/>
      <c r="BO33" s="714"/>
      <c r="BP33" s="714"/>
      <c r="BQ33" s="714"/>
      <c r="BR33" s="714"/>
      <c r="BS33" s="714"/>
      <c r="BT33" s="714"/>
      <c r="BU33" s="714"/>
      <c r="BV33" s="714"/>
      <c r="BW33" s="714"/>
      <c r="BX33" s="714"/>
      <c r="BY33" s="714"/>
      <c r="BZ33" s="714"/>
      <c r="CA33" s="714"/>
      <c r="CB33" s="714"/>
      <c r="CC33" s="714"/>
      <c r="CD33" s="714"/>
      <c r="CE33" s="714"/>
      <c r="CF33" s="714"/>
      <c r="CG33" s="714"/>
      <c r="CH33" s="714"/>
      <c r="CI33" s="714"/>
      <c r="CJ33" s="714"/>
      <c r="CK33" s="714"/>
      <c r="CL33" s="714"/>
      <c r="CM33" s="714"/>
      <c r="CN33" s="714"/>
      <c r="CO33" s="714"/>
      <c r="CP33" s="714"/>
      <c r="CQ33" s="714"/>
      <c r="CR33" s="714"/>
      <c r="CS33" s="714"/>
      <c r="CT33" s="714"/>
      <c r="CU33" s="714"/>
      <c r="CV33" s="714"/>
      <c r="CW33" s="714"/>
      <c r="CX33" s="714"/>
      <c r="CY33" s="714"/>
      <c r="CZ33" s="714"/>
      <c r="DA33" s="714"/>
      <c r="DB33" s="714"/>
      <c r="DC33" s="714"/>
      <c r="DD33" s="714"/>
      <c r="DE33" s="714"/>
      <c r="DF33" s="714"/>
      <c r="DG33" s="714"/>
      <c r="DH33" s="714"/>
      <c r="DI33" s="714"/>
      <c r="DJ33" s="714"/>
      <c r="DK33" s="714"/>
      <c r="DL33" s="714"/>
      <c r="DM33" s="714"/>
      <c r="DN33" s="714"/>
      <c r="DO33" s="714"/>
      <c r="DP33" s="714"/>
      <c r="DQ33" s="714"/>
      <c r="DR33" s="714"/>
      <c r="DS33" s="714"/>
      <c r="DT33" s="714"/>
      <c r="DU33" s="714"/>
      <c r="DV33" s="714"/>
      <c r="DW33" s="714"/>
      <c r="DX33" s="714"/>
      <c r="DY33" s="714"/>
      <c r="DZ33" s="714"/>
      <c r="EA33" s="714"/>
      <c r="EB33" s="714"/>
      <c r="EC33" s="714"/>
      <c r="ED33" s="714"/>
      <c r="EE33" s="714"/>
      <c r="EF33" s="714"/>
      <c r="EG33" s="714"/>
      <c r="EH33" s="714"/>
      <c r="EI33" s="714"/>
      <c r="EJ33" s="714"/>
      <c r="EK33" s="714"/>
      <c r="EL33" s="714"/>
      <c r="EM33" s="714"/>
      <c r="EN33" s="714"/>
    </row>
    <row r="34" ht="21.0" customHeight="1">
      <c r="A34" s="813"/>
      <c r="B34" s="838" t="s">
        <v>1196</v>
      </c>
      <c r="C34" s="745" t="s">
        <v>1197</v>
      </c>
      <c r="J34" s="700"/>
      <c r="K34" s="792" t="s">
        <v>1198</v>
      </c>
      <c r="N34" s="829" t="s">
        <v>1199</v>
      </c>
      <c r="O34" s="834"/>
      <c r="P34" s="714"/>
      <c r="Q34" s="714"/>
      <c r="R34" s="714"/>
      <c r="S34" s="714"/>
      <c r="T34" s="714"/>
      <c r="U34" s="714"/>
      <c r="V34" s="714"/>
      <c r="W34" s="714"/>
      <c r="X34" s="714"/>
      <c r="Y34" s="714"/>
      <c r="Z34" s="714"/>
      <c r="AA34" s="714"/>
      <c r="AB34" s="714"/>
      <c r="AC34" s="714"/>
      <c r="AD34" s="714"/>
      <c r="AE34" s="714"/>
      <c r="AF34" s="714"/>
      <c r="AG34" s="714"/>
      <c r="AH34" s="714"/>
      <c r="AI34" s="714"/>
      <c r="AJ34" s="714"/>
      <c r="AK34" s="714"/>
      <c r="AL34" s="714"/>
      <c r="AM34" s="714"/>
      <c r="AN34" s="714"/>
      <c r="AO34" s="714"/>
      <c r="AP34" s="714"/>
      <c r="AQ34" s="714"/>
      <c r="AR34" s="714"/>
      <c r="AS34" s="714"/>
      <c r="AT34" s="714"/>
      <c r="AU34" s="714"/>
      <c r="AV34" s="714"/>
      <c r="AW34" s="714"/>
      <c r="AX34" s="714"/>
      <c r="AY34" s="714"/>
      <c r="AZ34" s="714"/>
      <c r="BA34" s="714"/>
      <c r="BB34" s="714"/>
      <c r="BC34" s="714"/>
      <c r="BD34" s="714"/>
      <c r="BE34" s="714"/>
      <c r="BF34" s="714"/>
      <c r="BG34" s="714"/>
      <c r="BH34" s="714"/>
      <c r="BI34" s="714"/>
      <c r="BJ34" s="714"/>
      <c r="BK34" s="714"/>
      <c r="BL34" s="714"/>
      <c r="BM34" s="714"/>
      <c r="BN34" s="714"/>
      <c r="BO34" s="714"/>
      <c r="BP34" s="714"/>
      <c r="BQ34" s="714"/>
      <c r="BR34" s="714"/>
      <c r="BS34" s="714"/>
      <c r="BT34" s="714"/>
      <c r="BU34" s="714"/>
      <c r="BV34" s="714"/>
      <c r="BW34" s="714"/>
      <c r="BX34" s="714"/>
      <c r="BY34" s="714"/>
      <c r="BZ34" s="714"/>
      <c r="CA34" s="714"/>
      <c r="CB34" s="714"/>
      <c r="CC34" s="714"/>
      <c r="CD34" s="714"/>
      <c r="CE34" s="714"/>
      <c r="CF34" s="714"/>
      <c r="CG34" s="714"/>
      <c r="CH34" s="714"/>
      <c r="CI34" s="714"/>
      <c r="CJ34" s="714"/>
      <c r="CK34" s="714"/>
      <c r="CL34" s="714"/>
      <c r="CM34" s="714"/>
      <c r="CN34" s="714"/>
      <c r="CO34" s="714"/>
      <c r="CP34" s="714"/>
      <c r="CQ34" s="714"/>
      <c r="CR34" s="714"/>
      <c r="CS34" s="714"/>
      <c r="CT34" s="714"/>
      <c r="CU34" s="714"/>
      <c r="CV34" s="714"/>
      <c r="CW34" s="714"/>
      <c r="CX34" s="714"/>
      <c r="CY34" s="714"/>
      <c r="CZ34" s="714"/>
      <c r="DA34" s="714"/>
      <c r="DB34" s="714"/>
      <c r="DC34" s="714"/>
      <c r="DD34" s="714"/>
      <c r="DE34" s="714"/>
      <c r="DF34" s="714"/>
      <c r="DG34" s="714"/>
      <c r="DH34" s="714"/>
      <c r="DI34" s="714"/>
      <c r="DJ34" s="714"/>
      <c r="DK34" s="714"/>
      <c r="DL34" s="714"/>
      <c r="DM34" s="714"/>
      <c r="DN34" s="714"/>
      <c r="DO34" s="714"/>
      <c r="DP34" s="714"/>
      <c r="DQ34" s="714"/>
      <c r="DR34" s="714"/>
      <c r="DS34" s="714"/>
      <c r="DT34" s="714"/>
      <c r="DU34" s="714"/>
      <c r="DV34" s="714"/>
      <c r="DW34" s="714"/>
      <c r="DX34" s="714"/>
      <c r="DY34" s="714"/>
      <c r="DZ34" s="714"/>
      <c r="EA34" s="714"/>
      <c r="EB34" s="714"/>
      <c r="EC34" s="714"/>
      <c r="ED34" s="714"/>
      <c r="EE34" s="714"/>
      <c r="EF34" s="714"/>
      <c r="EG34" s="714"/>
      <c r="EH34" s="714"/>
      <c r="EI34" s="714"/>
      <c r="EJ34" s="714"/>
      <c r="EK34" s="714"/>
      <c r="EL34" s="714"/>
      <c r="EM34" s="714"/>
      <c r="EN34" s="714"/>
    </row>
    <row r="35" ht="21.0" customHeight="1">
      <c r="A35" s="813"/>
      <c r="B35" s="839" t="s">
        <v>1200</v>
      </c>
      <c r="C35" s="741" t="s">
        <v>1151</v>
      </c>
      <c r="K35" s="829" t="s">
        <v>1201</v>
      </c>
      <c r="L35" s="829"/>
      <c r="M35" s="829"/>
      <c r="N35" s="829"/>
      <c r="O35" s="815" t="s">
        <v>1202</v>
      </c>
      <c r="P35" s="741" t="s">
        <v>1140</v>
      </c>
      <c r="AE35" s="829" t="s">
        <v>1203</v>
      </c>
      <c r="AF35" s="834"/>
      <c r="AG35" s="834"/>
      <c r="AH35" s="714"/>
      <c r="AI35" s="714"/>
      <c r="AJ35" s="714"/>
      <c r="AK35" s="714"/>
      <c r="AL35" s="714"/>
      <c r="AM35" s="714"/>
      <c r="AN35" s="714"/>
      <c r="AO35" s="714"/>
      <c r="AP35" s="714"/>
      <c r="AQ35" s="714"/>
      <c r="AR35" s="714"/>
      <c r="AS35" s="714"/>
      <c r="AT35" s="714"/>
      <c r="AU35" s="714"/>
      <c r="AV35" s="714"/>
      <c r="AW35" s="714"/>
      <c r="AX35" s="714"/>
      <c r="AY35" s="714"/>
      <c r="AZ35" s="714"/>
      <c r="BA35" s="714"/>
      <c r="BB35" s="714"/>
      <c r="BC35" s="714"/>
      <c r="BD35" s="714"/>
      <c r="BE35" s="714"/>
      <c r="BF35" s="714"/>
      <c r="BG35" s="714"/>
      <c r="BH35" s="714"/>
      <c r="BI35" s="714"/>
      <c r="BJ35" s="714"/>
      <c r="BK35" s="714"/>
      <c r="BL35" s="714"/>
      <c r="BM35" s="714"/>
      <c r="BN35" s="714"/>
      <c r="BO35" s="714"/>
      <c r="BP35" s="714"/>
      <c r="BQ35" s="714"/>
      <c r="BR35" s="714"/>
      <c r="BS35" s="714"/>
      <c r="BT35" s="714"/>
      <c r="BU35" s="714"/>
      <c r="BV35" s="714"/>
      <c r="BW35" s="714"/>
      <c r="BX35" s="714"/>
      <c r="BY35" s="714"/>
      <c r="BZ35" s="714"/>
      <c r="CA35" s="714"/>
      <c r="CB35" s="714"/>
      <c r="CC35" s="714"/>
      <c r="CD35" s="714"/>
      <c r="CE35" s="714"/>
      <c r="CF35" s="714"/>
      <c r="CG35" s="714"/>
      <c r="CH35" s="714"/>
      <c r="CI35" s="714"/>
      <c r="CJ35" s="714"/>
      <c r="CK35" s="714"/>
      <c r="CL35" s="714"/>
      <c r="CM35" s="714"/>
      <c r="CN35" s="714"/>
      <c r="CO35" s="714"/>
      <c r="CP35" s="714"/>
      <c r="CQ35" s="714"/>
      <c r="CR35" s="714"/>
      <c r="CS35" s="714"/>
      <c r="CT35" s="714"/>
      <c r="CU35" s="714"/>
      <c r="CV35" s="714"/>
      <c r="CW35" s="714"/>
      <c r="CX35" s="714"/>
      <c r="CY35" s="714"/>
      <c r="CZ35" s="714"/>
      <c r="DA35" s="714"/>
      <c r="DB35" s="714"/>
      <c r="DC35" s="714"/>
      <c r="DD35" s="714"/>
      <c r="DE35" s="714"/>
      <c r="DF35" s="714"/>
      <c r="DG35" s="714"/>
      <c r="DH35" s="714"/>
      <c r="DI35" s="714"/>
      <c r="DJ35" s="714"/>
      <c r="DK35" s="714"/>
      <c r="DL35" s="714"/>
      <c r="DM35" s="714"/>
      <c r="DN35" s="714"/>
      <c r="DO35" s="714"/>
      <c r="DP35" s="714"/>
      <c r="DQ35" s="714"/>
      <c r="DR35" s="714"/>
      <c r="DS35" s="714"/>
      <c r="DT35" s="714"/>
      <c r="DU35" s="714"/>
      <c r="DV35" s="714"/>
      <c r="DW35" s="714"/>
      <c r="DX35" s="714"/>
      <c r="DY35" s="714"/>
      <c r="DZ35" s="714"/>
      <c r="EA35" s="714"/>
      <c r="EB35" s="714"/>
      <c r="EC35" s="714"/>
      <c r="ED35" s="714"/>
      <c r="EE35" s="714"/>
      <c r="EF35" s="714"/>
      <c r="EG35" s="714"/>
      <c r="EH35" s="714"/>
      <c r="EI35" s="714"/>
      <c r="EJ35" s="714"/>
      <c r="EK35" s="714"/>
      <c r="EL35" s="714"/>
      <c r="EM35" s="714"/>
      <c r="EN35" s="714"/>
    </row>
    <row r="36" ht="21.0" customHeight="1">
      <c r="A36" s="813"/>
      <c r="B36" s="840" t="s">
        <v>169</v>
      </c>
      <c r="C36" s="748" t="s">
        <v>1153</v>
      </c>
      <c r="N36" s="829" t="s">
        <v>1204</v>
      </c>
      <c r="O36" s="834"/>
      <c r="P36" s="714"/>
      <c r="Q36" s="714"/>
      <c r="R36" s="714"/>
      <c r="S36" s="714"/>
      <c r="T36" s="714"/>
      <c r="U36" s="714"/>
      <c r="V36" s="714"/>
      <c r="W36" s="714"/>
      <c r="X36" s="714"/>
      <c r="Y36" s="714"/>
      <c r="Z36" s="714"/>
      <c r="AA36" s="714"/>
      <c r="AB36" s="714"/>
      <c r="AC36" s="714"/>
      <c r="AD36" s="714"/>
      <c r="AE36" s="714"/>
      <c r="AF36" s="714"/>
      <c r="AG36" s="714"/>
      <c r="AH36" s="714"/>
      <c r="AI36" s="714"/>
      <c r="AJ36" s="714"/>
      <c r="AK36" s="714"/>
      <c r="AL36" s="714"/>
      <c r="AM36" s="714"/>
      <c r="AN36" s="714"/>
      <c r="AO36" s="714"/>
      <c r="AP36" s="714"/>
      <c r="AQ36" s="714"/>
      <c r="AR36" s="714"/>
      <c r="AS36" s="714"/>
      <c r="AT36" s="714"/>
      <c r="AU36" s="714"/>
      <c r="AV36" s="714"/>
      <c r="AW36" s="714"/>
      <c r="AX36" s="714"/>
      <c r="AY36" s="714"/>
      <c r="AZ36" s="714"/>
      <c r="BA36" s="714"/>
      <c r="BB36" s="714"/>
      <c r="BC36" s="714"/>
      <c r="BD36" s="714"/>
      <c r="BE36" s="714"/>
      <c r="BF36" s="714"/>
      <c r="BG36" s="714"/>
      <c r="BH36" s="714"/>
      <c r="BI36" s="714"/>
      <c r="BJ36" s="714"/>
      <c r="BK36" s="714"/>
      <c r="BL36" s="714"/>
      <c r="BM36" s="714"/>
      <c r="BN36" s="714"/>
      <c r="BO36" s="714"/>
      <c r="BP36" s="714"/>
      <c r="BQ36" s="714"/>
      <c r="BR36" s="714"/>
      <c r="BS36" s="714"/>
      <c r="BT36" s="714"/>
      <c r="BU36" s="714"/>
      <c r="BV36" s="714"/>
      <c r="BW36" s="714"/>
      <c r="BX36" s="714"/>
      <c r="BY36" s="714"/>
      <c r="BZ36" s="714"/>
      <c r="CA36" s="714"/>
      <c r="CB36" s="714"/>
      <c r="CC36" s="714"/>
      <c r="CD36" s="714"/>
      <c r="CE36" s="714"/>
      <c r="CF36" s="714"/>
      <c r="CG36" s="714"/>
      <c r="CH36" s="714"/>
      <c r="CI36" s="714"/>
      <c r="CJ36" s="714"/>
      <c r="CK36" s="714"/>
      <c r="CL36" s="714"/>
      <c r="CM36" s="714"/>
      <c r="CN36" s="714"/>
      <c r="CO36" s="714"/>
      <c r="CP36" s="714"/>
      <c r="CQ36" s="714"/>
      <c r="CR36" s="714"/>
      <c r="CS36" s="714"/>
      <c r="CT36" s="714"/>
      <c r="CU36" s="714"/>
      <c r="CV36" s="714"/>
      <c r="CW36" s="714"/>
      <c r="CX36" s="714"/>
      <c r="CY36" s="714"/>
      <c r="CZ36" s="714"/>
      <c r="DA36" s="714"/>
      <c r="DB36" s="714"/>
      <c r="DC36" s="714"/>
      <c r="DD36" s="714"/>
      <c r="DE36" s="714"/>
      <c r="DF36" s="714"/>
      <c r="DG36" s="714"/>
      <c r="DH36" s="714"/>
      <c r="DI36" s="714"/>
      <c r="DJ36" s="714"/>
      <c r="DK36" s="714"/>
      <c r="DL36" s="714"/>
      <c r="DM36" s="714"/>
      <c r="DN36" s="714"/>
      <c r="DO36" s="714"/>
      <c r="DP36" s="714"/>
      <c r="DQ36" s="714"/>
      <c r="DR36" s="714"/>
      <c r="DS36" s="714"/>
      <c r="DT36" s="714"/>
      <c r="DU36" s="714"/>
      <c r="DV36" s="714"/>
      <c r="DW36" s="714"/>
      <c r="DX36" s="714"/>
      <c r="DY36" s="714"/>
      <c r="DZ36" s="714"/>
      <c r="EA36" s="714"/>
      <c r="EB36" s="714"/>
      <c r="EC36" s="714"/>
      <c r="ED36" s="714"/>
      <c r="EE36" s="714"/>
      <c r="EF36" s="714"/>
      <c r="EG36" s="714"/>
      <c r="EH36" s="714"/>
      <c r="EI36" s="714"/>
      <c r="EJ36" s="714"/>
      <c r="EK36" s="714"/>
      <c r="EL36" s="714"/>
      <c r="EM36" s="714"/>
      <c r="EN36" s="714"/>
    </row>
    <row r="37" ht="21.0" customHeight="1">
      <c r="A37" s="813"/>
      <c r="B37" s="841" t="s">
        <v>1205</v>
      </c>
      <c r="C37" s="722" t="s">
        <v>106</v>
      </c>
      <c r="S37" s="797"/>
      <c r="T37" s="798" t="s">
        <v>1175</v>
      </c>
      <c r="AA37" s="797"/>
      <c r="AB37" s="798" t="s">
        <v>1135</v>
      </c>
      <c r="AF37" s="829" t="s">
        <v>1206</v>
      </c>
      <c r="AG37" s="834"/>
      <c r="AH37" s="714"/>
      <c r="AI37" s="714"/>
      <c r="AJ37" s="714"/>
      <c r="AK37" s="714"/>
      <c r="AL37" s="714"/>
      <c r="AM37" s="714"/>
      <c r="AN37" s="714"/>
      <c r="AO37" s="714"/>
      <c r="AP37" s="714"/>
      <c r="AQ37" s="714"/>
      <c r="AR37" s="714"/>
      <c r="AS37" s="714"/>
      <c r="AT37" s="714"/>
      <c r="AU37" s="714"/>
      <c r="AV37" s="714"/>
      <c r="AW37" s="714"/>
      <c r="AX37" s="714"/>
      <c r="AY37" s="714"/>
      <c r="AZ37" s="714"/>
      <c r="BA37" s="714"/>
      <c r="BB37" s="714"/>
      <c r="BC37" s="714"/>
      <c r="BD37" s="714"/>
      <c r="BE37" s="714"/>
      <c r="BF37" s="714"/>
      <c r="BG37" s="714"/>
      <c r="BH37" s="714"/>
      <c r="BI37" s="714"/>
      <c r="BJ37" s="714"/>
      <c r="BK37" s="714"/>
      <c r="BL37" s="714"/>
      <c r="BM37" s="714"/>
      <c r="BN37" s="714"/>
      <c r="BO37" s="714"/>
      <c r="BP37" s="714"/>
      <c r="BQ37" s="714"/>
      <c r="BR37" s="714"/>
      <c r="BS37" s="714"/>
      <c r="BT37" s="714"/>
      <c r="BU37" s="714"/>
      <c r="BV37" s="714"/>
      <c r="BW37" s="714"/>
      <c r="BX37" s="714"/>
      <c r="BY37" s="714"/>
      <c r="BZ37" s="714"/>
      <c r="CA37" s="714"/>
      <c r="CB37" s="714"/>
      <c r="CC37" s="714"/>
      <c r="CD37" s="714"/>
      <c r="CE37" s="714"/>
      <c r="CF37" s="714"/>
      <c r="CG37" s="714"/>
      <c r="CH37" s="714"/>
      <c r="CI37" s="714"/>
      <c r="CJ37" s="714"/>
      <c r="CK37" s="714"/>
      <c r="CL37" s="714"/>
      <c r="CM37" s="714"/>
      <c r="CN37" s="714"/>
      <c r="CO37" s="714"/>
      <c r="CP37" s="714"/>
      <c r="CQ37" s="714"/>
      <c r="CR37" s="714"/>
      <c r="CS37" s="714"/>
      <c r="CT37" s="714"/>
      <c r="CU37" s="714"/>
      <c r="CV37" s="714"/>
      <c r="CW37" s="714"/>
      <c r="CX37" s="714"/>
      <c r="CY37" s="714"/>
      <c r="CZ37" s="714"/>
      <c r="DA37" s="714"/>
      <c r="DB37" s="714"/>
      <c r="DC37" s="714"/>
      <c r="DD37" s="714"/>
      <c r="DE37" s="714"/>
      <c r="DF37" s="714"/>
      <c r="DG37" s="714"/>
      <c r="DH37" s="714"/>
      <c r="DI37" s="714"/>
      <c r="DJ37" s="714"/>
      <c r="DK37" s="714"/>
      <c r="DL37" s="714"/>
      <c r="DM37" s="714"/>
      <c r="DN37" s="714"/>
      <c r="DO37" s="714"/>
      <c r="DP37" s="714"/>
      <c r="DQ37" s="714"/>
      <c r="DR37" s="714"/>
      <c r="DS37" s="714"/>
      <c r="DT37" s="714"/>
      <c r="DU37" s="714"/>
      <c r="DV37" s="714"/>
      <c r="DW37" s="714"/>
      <c r="DX37" s="714"/>
      <c r="DY37" s="714"/>
      <c r="DZ37" s="714"/>
      <c r="EA37" s="714"/>
      <c r="EB37" s="714"/>
      <c r="EC37" s="714"/>
      <c r="ED37" s="714"/>
      <c r="EE37" s="714"/>
      <c r="EF37" s="714"/>
      <c r="EG37" s="714"/>
      <c r="EH37" s="714"/>
      <c r="EI37" s="714"/>
      <c r="EJ37" s="714"/>
      <c r="EK37" s="714"/>
      <c r="EL37" s="714"/>
      <c r="EM37" s="714"/>
      <c r="EN37" s="714"/>
    </row>
    <row r="38" ht="21.0" customHeight="1">
      <c r="A38" s="813"/>
      <c r="B38" s="842" t="s">
        <v>1207</v>
      </c>
      <c r="C38" s="742" t="s">
        <v>229</v>
      </c>
      <c r="G38" s="700"/>
      <c r="H38" s="755" t="s">
        <v>1150</v>
      </c>
      <c r="V38" s="700"/>
      <c r="W38" s="755" t="s">
        <v>1163</v>
      </c>
      <c r="AC38" s="700"/>
      <c r="AD38" s="843" t="s">
        <v>1112</v>
      </c>
      <c r="AE38" s="755" t="s">
        <v>1208</v>
      </c>
      <c r="AL38" s="829" t="s">
        <v>1209</v>
      </c>
      <c r="AM38" s="834"/>
      <c r="AN38" s="834"/>
      <c r="AO38" s="714"/>
      <c r="AP38" s="714"/>
      <c r="AQ38" s="714"/>
      <c r="AR38" s="714"/>
      <c r="AS38" s="714"/>
      <c r="AT38" s="714"/>
      <c r="AU38" s="714"/>
      <c r="AV38" s="714"/>
      <c r="AW38" s="714"/>
      <c r="AX38" s="714"/>
      <c r="AY38" s="714"/>
      <c r="AZ38" s="714"/>
      <c r="BA38" s="714"/>
      <c r="BB38" s="714"/>
      <c r="BC38" s="714"/>
      <c r="BD38" s="714"/>
      <c r="BE38" s="714"/>
      <c r="BF38" s="714"/>
      <c r="BG38" s="714"/>
      <c r="BH38" s="714"/>
      <c r="BI38" s="714"/>
      <c r="BJ38" s="714"/>
      <c r="BK38" s="714"/>
      <c r="BL38" s="714"/>
      <c r="BM38" s="714"/>
      <c r="BN38" s="714"/>
      <c r="BO38" s="714"/>
      <c r="BP38" s="714"/>
      <c r="BQ38" s="714"/>
      <c r="BR38" s="714"/>
      <c r="BS38" s="714"/>
      <c r="BT38" s="714"/>
      <c r="BU38" s="714"/>
      <c r="BV38" s="714"/>
      <c r="BW38" s="714"/>
      <c r="BX38" s="714"/>
      <c r="BY38" s="714"/>
      <c r="BZ38" s="714"/>
      <c r="CA38" s="714"/>
      <c r="CB38" s="714"/>
      <c r="CC38" s="714"/>
      <c r="CD38" s="714"/>
      <c r="CE38" s="714"/>
      <c r="CF38" s="714"/>
      <c r="CG38" s="714"/>
      <c r="CH38" s="714"/>
      <c r="CI38" s="714"/>
      <c r="CJ38" s="714"/>
      <c r="CK38" s="714"/>
      <c r="CL38" s="714"/>
      <c r="CM38" s="714"/>
      <c r="CN38" s="714"/>
      <c r="CO38" s="714"/>
      <c r="CP38" s="714"/>
      <c r="CQ38" s="714"/>
      <c r="CR38" s="714"/>
      <c r="CS38" s="714"/>
      <c r="CT38" s="714"/>
      <c r="CU38" s="714"/>
      <c r="CV38" s="714"/>
      <c r="CW38" s="714"/>
      <c r="CX38" s="714"/>
      <c r="CY38" s="714"/>
      <c r="CZ38" s="714"/>
      <c r="DA38" s="714"/>
      <c r="DB38" s="714"/>
      <c r="DC38" s="714"/>
      <c r="DD38" s="714"/>
      <c r="DE38" s="714"/>
      <c r="DF38" s="714"/>
      <c r="DG38" s="714"/>
      <c r="DH38" s="714"/>
      <c r="DI38" s="714"/>
      <c r="DJ38" s="714"/>
      <c r="DK38" s="714"/>
      <c r="DL38" s="714"/>
      <c r="DM38" s="714"/>
      <c r="DN38" s="714"/>
      <c r="DO38" s="714"/>
      <c r="DP38" s="714"/>
      <c r="DQ38" s="714"/>
      <c r="DR38" s="714"/>
      <c r="DS38" s="714"/>
      <c r="DT38" s="714"/>
      <c r="DU38" s="714"/>
      <c r="DV38" s="714"/>
      <c r="DW38" s="714"/>
      <c r="DX38" s="714"/>
      <c r="DY38" s="714"/>
      <c r="DZ38" s="714"/>
      <c r="EA38" s="714"/>
      <c r="EB38" s="714"/>
      <c r="EC38" s="714"/>
      <c r="ED38" s="714"/>
      <c r="EE38" s="714"/>
      <c r="EF38" s="714"/>
      <c r="EG38" s="714"/>
      <c r="EH38" s="714"/>
      <c r="EI38" s="714"/>
      <c r="EJ38" s="714"/>
      <c r="EK38" s="714"/>
      <c r="EL38" s="714"/>
      <c r="EM38" s="714"/>
      <c r="EN38" s="714"/>
    </row>
    <row r="39" ht="21.0" customHeight="1">
      <c r="A39" s="813"/>
      <c r="B39" s="844" t="s">
        <v>1210</v>
      </c>
      <c r="C39" s="714"/>
      <c r="D39" s="714"/>
      <c r="E39" s="714"/>
      <c r="F39" s="714"/>
      <c r="G39" s="714"/>
      <c r="H39" s="714"/>
      <c r="I39" s="815" t="s">
        <v>1211</v>
      </c>
      <c r="J39" s="845" t="s">
        <v>1212</v>
      </c>
      <c r="K39" s="829" t="s">
        <v>1213</v>
      </c>
      <c r="L39" s="834"/>
      <c r="M39" s="834"/>
      <c r="N39" s="834"/>
      <c r="O39" s="834"/>
      <c r="P39" s="834"/>
      <c r="Q39" s="834"/>
      <c r="R39" s="834"/>
      <c r="S39" s="834"/>
      <c r="T39" s="714"/>
      <c r="U39" s="714"/>
      <c r="V39" s="714"/>
      <c r="W39" s="714"/>
      <c r="X39" s="714"/>
      <c r="Y39" s="714"/>
      <c r="Z39" s="714"/>
      <c r="AA39" s="714"/>
      <c r="AB39" s="714"/>
      <c r="AC39" s="714"/>
      <c r="AD39" s="714"/>
      <c r="AE39" s="714"/>
      <c r="AF39" s="714"/>
      <c r="AG39" s="714"/>
      <c r="AH39" s="714"/>
      <c r="AI39" s="714"/>
      <c r="AJ39" s="714"/>
      <c r="AK39" s="714"/>
      <c r="AL39" s="714"/>
      <c r="AM39" s="714"/>
      <c r="AN39" s="714"/>
      <c r="AO39" s="714"/>
      <c r="AP39" s="714"/>
      <c r="AQ39" s="714"/>
      <c r="AR39" s="714"/>
      <c r="AS39" s="714"/>
      <c r="AT39" s="714"/>
      <c r="AU39" s="714"/>
      <c r="AV39" s="714"/>
      <c r="AW39" s="714"/>
      <c r="AX39" s="714"/>
      <c r="AY39" s="714"/>
      <c r="AZ39" s="714"/>
      <c r="BA39" s="714"/>
      <c r="BB39" s="714"/>
      <c r="BC39" s="714"/>
      <c r="BD39" s="714"/>
      <c r="BE39" s="714"/>
      <c r="BF39" s="714"/>
      <c r="BG39" s="714"/>
      <c r="BH39" s="714"/>
      <c r="BI39" s="714"/>
      <c r="BJ39" s="714"/>
      <c r="BK39" s="714"/>
      <c r="BL39" s="714"/>
      <c r="BM39" s="714"/>
      <c r="BN39" s="714"/>
      <c r="BO39" s="714"/>
      <c r="BP39" s="714"/>
      <c r="BQ39" s="714"/>
      <c r="BR39" s="714"/>
      <c r="BS39" s="714"/>
      <c r="BT39" s="714"/>
      <c r="BU39" s="714"/>
      <c r="BV39" s="714"/>
      <c r="BW39" s="714"/>
      <c r="BX39" s="714"/>
      <c r="BY39" s="714"/>
      <c r="BZ39" s="714"/>
      <c r="CA39" s="714"/>
      <c r="CB39" s="714"/>
      <c r="CC39" s="714"/>
      <c r="CD39" s="714"/>
      <c r="CE39" s="714"/>
      <c r="CF39" s="714"/>
      <c r="CG39" s="714"/>
      <c r="CH39" s="714"/>
      <c r="CI39" s="714"/>
      <c r="CJ39" s="714"/>
      <c r="CK39" s="714"/>
      <c r="CL39" s="714"/>
      <c r="CM39" s="714"/>
      <c r="CN39" s="714"/>
      <c r="CO39" s="714"/>
      <c r="CP39" s="714"/>
      <c r="CQ39" s="714"/>
      <c r="CR39" s="714"/>
      <c r="CS39" s="714"/>
      <c r="CT39" s="714"/>
      <c r="CU39" s="714"/>
      <c r="CV39" s="714"/>
      <c r="CW39" s="714"/>
      <c r="CX39" s="714"/>
      <c r="CY39" s="714"/>
      <c r="CZ39" s="714"/>
      <c r="DA39" s="714"/>
      <c r="DB39" s="714"/>
      <c r="DC39" s="714"/>
      <c r="DD39" s="714"/>
      <c r="DE39" s="714"/>
      <c r="DF39" s="714"/>
      <c r="DG39" s="714"/>
      <c r="DH39" s="714"/>
      <c r="DI39" s="714"/>
      <c r="DJ39" s="714"/>
      <c r="DK39" s="714"/>
      <c r="DL39" s="714"/>
      <c r="DM39" s="714"/>
      <c r="DN39" s="714"/>
      <c r="DO39" s="714"/>
      <c r="DP39" s="714"/>
      <c r="DQ39" s="714"/>
      <c r="DR39" s="714"/>
      <c r="DS39" s="714"/>
      <c r="DT39" s="714"/>
      <c r="DU39" s="714"/>
      <c r="DV39" s="714"/>
      <c r="DW39" s="714"/>
      <c r="DX39" s="714"/>
      <c r="DY39" s="714"/>
      <c r="DZ39" s="714"/>
      <c r="EA39" s="714"/>
      <c r="EB39" s="714"/>
      <c r="EC39" s="714"/>
      <c r="ED39" s="714"/>
      <c r="EE39" s="714"/>
      <c r="EF39" s="714"/>
      <c r="EG39" s="714"/>
      <c r="EH39" s="714"/>
      <c r="EI39" s="714"/>
      <c r="EJ39" s="714"/>
      <c r="EK39" s="714"/>
      <c r="EL39" s="714"/>
      <c r="EM39" s="714"/>
      <c r="EN39" s="714"/>
    </row>
    <row r="40" ht="21.0" customHeight="1">
      <c r="A40" s="813"/>
      <c r="B40" s="846" t="s">
        <v>1214</v>
      </c>
      <c r="C40" s="714"/>
      <c r="D40" s="714"/>
      <c r="E40" s="714"/>
      <c r="F40" s="714"/>
      <c r="G40" s="714"/>
      <c r="H40" s="714"/>
      <c r="I40" s="815" t="s">
        <v>1215</v>
      </c>
      <c r="J40" s="847" t="s">
        <v>1216</v>
      </c>
      <c r="K40" s="848" t="s">
        <v>1140</v>
      </c>
      <c r="P40" s="829" t="s">
        <v>1217</v>
      </c>
      <c r="T40" s="714"/>
      <c r="U40" s="714"/>
      <c r="V40" s="714"/>
      <c r="W40" s="714"/>
      <c r="X40" s="714"/>
      <c r="Y40" s="714"/>
      <c r="Z40" s="714"/>
      <c r="AA40" s="714"/>
      <c r="AB40" s="714"/>
      <c r="AC40" s="714"/>
      <c r="AD40" s="714"/>
      <c r="AE40" s="714"/>
      <c r="AF40" s="714"/>
      <c r="AG40" s="714"/>
      <c r="AH40" s="714"/>
      <c r="AI40" s="714"/>
      <c r="AJ40" s="714"/>
      <c r="AK40" s="714"/>
      <c r="AL40" s="714"/>
      <c r="AM40" s="714"/>
      <c r="AN40" s="714"/>
      <c r="AO40" s="714"/>
      <c r="AP40" s="714"/>
      <c r="AQ40" s="714"/>
      <c r="AR40" s="714"/>
      <c r="AS40" s="714"/>
      <c r="AT40" s="714"/>
      <c r="AU40" s="714"/>
      <c r="AV40" s="714"/>
      <c r="AW40" s="714"/>
      <c r="AX40" s="714"/>
      <c r="AY40" s="714"/>
      <c r="AZ40" s="714"/>
      <c r="BA40" s="714"/>
      <c r="BB40" s="714"/>
      <c r="BC40" s="714"/>
      <c r="BD40" s="714"/>
      <c r="BE40" s="714"/>
      <c r="BF40" s="714"/>
      <c r="BG40" s="714"/>
      <c r="BH40" s="714"/>
      <c r="BI40" s="714"/>
      <c r="BJ40" s="714"/>
      <c r="BK40" s="714"/>
      <c r="BL40" s="714"/>
      <c r="BM40" s="714"/>
      <c r="BN40" s="714"/>
      <c r="BO40" s="714"/>
      <c r="BP40" s="714"/>
      <c r="BQ40" s="714"/>
      <c r="BR40" s="714"/>
      <c r="BS40" s="714"/>
      <c r="BT40" s="714"/>
      <c r="BU40" s="714"/>
      <c r="BV40" s="714"/>
      <c r="BW40" s="714"/>
      <c r="BX40" s="714"/>
      <c r="BY40" s="714"/>
      <c r="BZ40" s="714"/>
      <c r="CA40" s="714"/>
      <c r="CB40" s="714"/>
      <c r="CC40" s="714"/>
      <c r="CD40" s="714"/>
      <c r="CE40" s="714"/>
      <c r="CF40" s="714"/>
      <c r="CG40" s="714"/>
      <c r="CH40" s="714"/>
      <c r="CI40" s="714"/>
      <c r="CJ40" s="714"/>
      <c r="CK40" s="714"/>
      <c r="CL40" s="714"/>
      <c r="CM40" s="714"/>
      <c r="CN40" s="714"/>
      <c r="CO40" s="714"/>
      <c r="CP40" s="714"/>
      <c r="CQ40" s="714"/>
      <c r="CR40" s="714"/>
      <c r="CS40" s="714"/>
      <c r="CT40" s="714"/>
      <c r="CU40" s="714"/>
      <c r="CV40" s="714"/>
      <c r="CW40" s="714"/>
      <c r="CX40" s="714"/>
      <c r="CY40" s="714"/>
      <c r="CZ40" s="714"/>
      <c r="DA40" s="714"/>
      <c r="DB40" s="714"/>
      <c r="DC40" s="714"/>
      <c r="DD40" s="714"/>
      <c r="DE40" s="714"/>
      <c r="DF40" s="714"/>
      <c r="DG40" s="714"/>
      <c r="DH40" s="714"/>
      <c r="DI40" s="714"/>
      <c r="DJ40" s="714"/>
      <c r="DK40" s="714"/>
      <c r="DL40" s="714"/>
      <c r="DM40" s="714"/>
      <c r="DN40" s="714"/>
      <c r="DO40" s="714"/>
      <c r="DP40" s="714"/>
      <c r="DQ40" s="714"/>
      <c r="DR40" s="714"/>
      <c r="DS40" s="714"/>
      <c r="DT40" s="714"/>
      <c r="DU40" s="714"/>
      <c r="DV40" s="714"/>
      <c r="DW40" s="714"/>
      <c r="DX40" s="714"/>
      <c r="DY40" s="714"/>
      <c r="DZ40" s="714"/>
      <c r="EA40" s="714"/>
      <c r="EB40" s="714"/>
      <c r="EC40" s="714"/>
      <c r="ED40" s="714"/>
      <c r="EE40" s="714"/>
      <c r="EF40" s="714"/>
      <c r="EG40" s="714"/>
      <c r="EH40" s="714"/>
      <c r="EI40" s="714"/>
      <c r="EJ40" s="714"/>
      <c r="EK40" s="714"/>
      <c r="EL40" s="714"/>
      <c r="EM40" s="714"/>
      <c r="EN40" s="714"/>
    </row>
    <row r="41" ht="21.0" customHeight="1">
      <c r="A41" s="813"/>
      <c r="B41" s="849" t="s">
        <v>274</v>
      </c>
      <c r="C41" s="714"/>
      <c r="D41" s="714"/>
      <c r="E41" s="714"/>
      <c r="F41" s="714"/>
      <c r="G41" s="714"/>
      <c r="H41" s="714"/>
      <c r="I41" s="714"/>
      <c r="J41" s="714"/>
      <c r="K41" s="714"/>
      <c r="L41" s="714"/>
      <c r="M41" s="815" t="s">
        <v>1218</v>
      </c>
      <c r="N41" s="850" t="s">
        <v>229</v>
      </c>
      <c r="P41" s="829" t="s">
        <v>1219</v>
      </c>
      <c r="U41" s="714"/>
      <c r="V41" s="714"/>
      <c r="W41" s="714"/>
      <c r="X41" s="714"/>
      <c r="Y41" s="714"/>
      <c r="Z41" s="714"/>
      <c r="AA41" s="714"/>
      <c r="AB41" s="714"/>
      <c r="AC41" s="714"/>
      <c r="AD41" s="714"/>
      <c r="AE41" s="714"/>
      <c r="AF41" s="714"/>
      <c r="AG41" s="714"/>
      <c r="AH41" s="714"/>
      <c r="AI41" s="714"/>
      <c r="AJ41" s="714"/>
      <c r="AK41" s="714"/>
      <c r="AL41" s="714"/>
      <c r="AM41" s="714"/>
      <c r="AN41" s="714"/>
      <c r="AO41" s="714"/>
      <c r="AP41" s="714"/>
      <c r="AQ41" s="714"/>
      <c r="AR41" s="714"/>
      <c r="AS41" s="714"/>
      <c r="AT41" s="714"/>
      <c r="AU41" s="714"/>
      <c r="AV41" s="714"/>
      <c r="AW41" s="714"/>
      <c r="AX41" s="714"/>
      <c r="AY41" s="714"/>
      <c r="AZ41" s="714"/>
      <c r="BA41" s="714"/>
      <c r="BB41" s="714"/>
      <c r="BC41" s="714"/>
      <c r="BD41" s="714"/>
      <c r="BE41" s="714"/>
      <c r="BF41" s="714"/>
      <c r="BG41" s="714"/>
      <c r="BH41" s="714"/>
      <c r="BI41" s="714"/>
      <c r="BJ41" s="714"/>
      <c r="BK41" s="714"/>
      <c r="BL41" s="714"/>
      <c r="BM41" s="714"/>
      <c r="BN41" s="714"/>
      <c r="BO41" s="714"/>
      <c r="BP41" s="714"/>
      <c r="BQ41" s="714"/>
      <c r="BR41" s="714"/>
      <c r="BS41" s="714"/>
      <c r="BT41" s="714"/>
      <c r="BU41" s="714"/>
      <c r="BV41" s="714"/>
      <c r="BW41" s="714"/>
      <c r="BX41" s="714"/>
      <c r="BY41" s="714"/>
      <c r="BZ41" s="714"/>
      <c r="CA41" s="714"/>
      <c r="CB41" s="714"/>
      <c r="CC41" s="714"/>
      <c r="CD41" s="714"/>
      <c r="CE41" s="714"/>
      <c r="CF41" s="714"/>
      <c r="CG41" s="714"/>
      <c r="CH41" s="714"/>
      <c r="CI41" s="714"/>
      <c r="CJ41" s="714"/>
      <c r="CK41" s="714"/>
      <c r="CL41" s="714"/>
      <c r="CM41" s="714"/>
      <c r="CN41" s="714"/>
      <c r="CO41" s="714"/>
      <c r="CP41" s="714"/>
      <c r="CQ41" s="714"/>
      <c r="CR41" s="714"/>
      <c r="CS41" s="714"/>
      <c r="CT41" s="714"/>
      <c r="CU41" s="714"/>
      <c r="CV41" s="714"/>
      <c r="CW41" s="714"/>
      <c r="CX41" s="714"/>
      <c r="CY41" s="714"/>
      <c r="CZ41" s="714"/>
      <c r="DA41" s="714"/>
      <c r="DB41" s="714"/>
      <c r="DC41" s="714"/>
      <c r="DD41" s="714"/>
      <c r="DE41" s="714"/>
      <c r="DF41" s="714"/>
      <c r="DG41" s="714"/>
      <c r="DH41" s="714"/>
      <c r="DI41" s="714"/>
      <c r="DJ41" s="714"/>
      <c r="DK41" s="714"/>
      <c r="DL41" s="714"/>
      <c r="DM41" s="714"/>
      <c r="DN41" s="714"/>
      <c r="DO41" s="714"/>
      <c r="DP41" s="714"/>
      <c r="DQ41" s="714"/>
      <c r="DR41" s="714"/>
      <c r="DS41" s="714"/>
      <c r="DT41" s="714"/>
      <c r="DU41" s="714"/>
      <c r="DV41" s="714"/>
      <c r="DW41" s="714"/>
      <c r="DX41" s="714"/>
      <c r="DY41" s="714"/>
      <c r="DZ41" s="714"/>
      <c r="EA41" s="714"/>
      <c r="EB41" s="714"/>
      <c r="EC41" s="714"/>
      <c r="ED41" s="714"/>
      <c r="EE41" s="714"/>
      <c r="EF41" s="714"/>
      <c r="EG41" s="714"/>
      <c r="EH41" s="714"/>
      <c r="EI41" s="714"/>
      <c r="EJ41" s="714"/>
      <c r="EK41" s="714"/>
      <c r="EL41" s="714"/>
      <c r="EM41" s="714"/>
      <c r="EN41" s="714"/>
    </row>
    <row r="42" ht="21.0" customHeight="1">
      <c r="A42" s="813"/>
      <c r="B42" s="851" t="s">
        <v>1220</v>
      </c>
      <c r="C42" s="714"/>
      <c r="D42" s="714"/>
      <c r="E42" s="714"/>
      <c r="F42" s="714"/>
      <c r="G42" s="714"/>
      <c r="H42" s="714"/>
      <c r="I42" s="714"/>
      <c r="J42" s="714"/>
      <c r="K42" s="714"/>
      <c r="L42" s="714"/>
      <c r="M42" s="714"/>
      <c r="N42" s="714"/>
      <c r="O42" s="714"/>
      <c r="P42" s="714"/>
      <c r="Q42" s="714"/>
      <c r="R42" s="714"/>
      <c r="S42" s="828" t="s">
        <v>229</v>
      </c>
      <c r="U42" s="829" t="s">
        <v>1221</v>
      </c>
      <c r="V42" s="834"/>
      <c r="W42" s="834"/>
      <c r="X42" s="714"/>
      <c r="Y42" s="714"/>
      <c r="Z42" s="714"/>
      <c r="AA42" s="714"/>
      <c r="AB42" s="714"/>
      <c r="AC42" s="714"/>
      <c r="AD42" s="714"/>
      <c r="AE42" s="714"/>
      <c r="AF42" s="714"/>
      <c r="AG42" s="714"/>
      <c r="AH42" s="714"/>
      <c r="AI42" s="714"/>
      <c r="AJ42" s="714"/>
      <c r="AK42" s="714"/>
      <c r="AL42" s="714"/>
      <c r="AM42" s="714"/>
      <c r="AN42" s="714"/>
      <c r="AO42" s="714"/>
      <c r="AP42" s="714"/>
      <c r="AQ42" s="714"/>
      <c r="AR42" s="714"/>
      <c r="AS42" s="714"/>
      <c r="AT42" s="714"/>
      <c r="AU42" s="714"/>
      <c r="AV42" s="714"/>
      <c r="AW42" s="714"/>
      <c r="AX42" s="714"/>
      <c r="AY42" s="714"/>
      <c r="AZ42" s="714"/>
      <c r="BA42" s="714"/>
      <c r="BB42" s="714"/>
      <c r="BC42" s="714"/>
      <c r="BD42" s="714"/>
      <c r="BE42" s="714"/>
      <c r="BF42" s="714"/>
      <c r="BG42" s="714"/>
      <c r="BH42" s="714"/>
      <c r="BI42" s="714"/>
      <c r="BJ42" s="714"/>
      <c r="BK42" s="714"/>
      <c r="BL42" s="714"/>
      <c r="BM42" s="714"/>
      <c r="BN42" s="714"/>
      <c r="BO42" s="714"/>
      <c r="BP42" s="714"/>
      <c r="BQ42" s="714"/>
      <c r="BR42" s="714"/>
      <c r="BS42" s="714"/>
      <c r="BT42" s="714"/>
      <c r="BU42" s="714"/>
      <c r="BV42" s="714"/>
      <c r="BW42" s="714"/>
      <c r="BX42" s="714"/>
      <c r="BY42" s="714"/>
      <c r="BZ42" s="714"/>
      <c r="CA42" s="714"/>
      <c r="CB42" s="714"/>
      <c r="CC42" s="714"/>
      <c r="CD42" s="714"/>
      <c r="CE42" s="714"/>
      <c r="CF42" s="714"/>
      <c r="CG42" s="714"/>
      <c r="CH42" s="714"/>
      <c r="CI42" s="714"/>
      <c r="CJ42" s="714"/>
      <c r="CK42" s="714"/>
      <c r="CL42" s="714"/>
      <c r="CM42" s="714"/>
      <c r="CN42" s="714"/>
      <c r="CO42" s="714"/>
      <c r="CP42" s="714"/>
      <c r="CQ42" s="714"/>
      <c r="CR42" s="714"/>
      <c r="CS42" s="714"/>
      <c r="CT42" s="714"/>
      <c r="CU42" s="714"/>
      <c r="CV42" s="714"/>
      <c r="CW42" s="714"/>
      <c r="CX42" s="714"/>
      <c r="CY42" s="714"/>
      <c r="CZ42" s="714"/>
      <c r="DA42" s="714"/>
      <c r="DB42" s="714"/>
      <c r="DC42" s="714"/>
      <c r="DD42" s="714"/>
      <c r="DE42" s="714"/>
      <c r="DF42" s="714"/>
      <c r="DG42" s="714"/>
      <c r="DH42" s="714"/>
      <c r="DI42" s="714"/>
      <c r="DJ42" s="714"/>
      <c r="DK42" s="714"/>
      <c r="DL42" s="714"/>
      <c r="DM42" s="714"/>
      <c r="DN42" s="714"/>
      <c r="DO42" s="714"/>
      <c r="DP42" s="714"/>
      <c r="DQ42" s="714"/>
      <c r="DR42" s="714"/>
      <c r="DS42" s="714"/>
      <c r="DT42" s="714"/>
      <c r="DU42" s="714"/>
      <c r="DV42" s="714"/>
      <c r="DW42" s="714"/>
      <c r="DX42" s="714"/>
      <c r="DY42" s="714"/>
      <c r="DZ42" s="714"/>
      <c r="EA42" s="714"/>
      <c r="EB42" s="714"/>
      <c r="EC42" s="714"/>
      <c r="ED42" s="714"/>
      <c r="EE42" s="714"/>
      <c r="EF42" s="714"/>
      <c r="EG42" s="714"/>
      <c r="EH42" s="714"/>
      <c r="EI42" s="714"/>
      <c r="EJ42" s="714"/>
      <c r="EK42" s="714"/>
      <c r="EL42" s="714"/>
      <c r="EM42" s="714"/>
      <c r="EN42" s="714"/>
    </row>
    <row r="43" ht="21.0" customHeight="1">
      <c r="A43" s="813"/>
      <c r="B43" s="852" t="s">
        <v>1222</v>
      </c>
      <c r="C43" s="714"/>
      <c r="D43" s="714"/>
      <c r="E43" s="714"/>
      <c r="F43" s="714"/>
      <c r="G43" s="714"/>
      <c r="H43" s="714"/>
      <c r="I43" s="714"/>
      <c r="J43" s="714"/>
      <c r="K43" s="714"/>
      <c r="L43" s="714"/>
      <c r="M43" s="714"/>
      <c r="N43" s="714"/>
      <c r="O43" s="714"/>
      <c r="P43" s="714"/>
      <c r="Q43" s="714"/>
      <c r="R43" s="815"/>
      <c r="S43" s="815"/>
      <c r="T43" s="815" t="s">
        <v>1223</v>
      </c>
      <c r="U43" s="853" t="s">
        <v>229</v>
      </c>
      <c r="AB43" s="829" t="s">
        <v>1224</v>
      </c>
      <c r="AC43" s="834"/>
      <c r="AD43" s="834"/>
      <c r="AE43" s="714"/>
      <c r="AF43" s="714"/>
      <c r="AG43" s="714"/>
      <c r="AH43" s="714"/>
      <c r="AI43" s="714"/>
      <c r="AJ43" s="714"/>
      <c r="AK43" s="714"/>
      <c r="AL43" s="714"/>
      <c r="AM43" s="714"/>
      <c r="AN43" s="714"/>
      <c r="AO43" s="714"/>
      <c r="AP43" s="714"/>
      <c r="AQ43" s="714"/>
      <c r="AR43" s="714"/>
      <c r="AS43" s="714"/>
      <c r="AT43" s="714"/>
      <c r="AU43" s="714"/>
      <c r="AV43" s="714"/>
      <c r="AW43" s="714"/>
      <c r="AX43" s="714"/>
      <c r="AY43" s="714"/>
      <c r="AZ43" s="714"/>
      <c r="BA43" s="714"/>
      <c r="BB43" s="714"/>
      <c r="BC43" s="714"/>
      <c r="BD43" s="714"/>
      <c r="BE43" s="714"/>
      <c r="BF43" s="714"/>
      <c r="BG43" s="714"/>
      <c r="BH43" s="714"/>
      <c r="BI43" s="714"/>
      <c r="BJ43" s="714"/>
      <c r="BK43" s="714"/>
      <c r="BL43" s="714"/>
      <c r="BM43" s="714"/>
      <c r="BN43" s="714"/>
      <c r="BO43" s="714"/>
      <c r="BP43" s="714"/>
      <c r="BQ43" s="714"/>
      <c r="BR43" s="714"/>
      <c r="BS43" s="714"/>
      <c r="BT43" s="714"/>
      <c r="BU43" s="714"/>
      <c r="BV43" s="714"/>
      <c r="BW43" s="714"/>
      <c r="BX43" s="714"/>
      <c r="BY43" s="714"/>
      <c r="BZ43" s="714"/>
      <c r="CA43" s="714"/>
      <c r="CB43" s="714"/>
      <c r="CC43" s="714"/>
      <c r="CD43" s="714"/>
      <c r="CE43" s="714"/>
      <c r="CF43" s="714"/>
      <c r="CG43" s="714"/>
      <c r="CH43" s="714"/>
      <c r="CI43" s="714"/>
      <c r="CJ43" s="714"/>
      <c r="CK43" s="714"/>
      <c r="CL43" s="714"/>
      <c r="CM43" s="714"/>
      <c r="CN43" s="714"/>
      <c r="CO43" s="714"/>
      <c r="CP43" s="714"/>
      <c r="CQ43" s="714"/>
      <c r="CR43" s="714"/>
      <c r="CS43" s="714"/>
      <c r="CT43" s="714"/>
      <c r="CU43" s="714"/>
      <c r="CV43" s="714"/>
      <c r="CW43" s="714"/>
      <c r="CX43" s="714"/>
      <c r="CY43" s="714"/>
      <c r="CZ43" s="714"/>
      <c r="DA43" s="714"/>
      <c r="DB43" s="714"/>
      <c r="DC43" s="714"/>
      <c r="DD43" s="714"/>
      <c r="DE43" s="714"/>
      <c r="DF43" s="714"/>
      <c r="DG43" s="714"/>
      <c r="DH43" s="714"/>
      <c r="DI43" s="714"/>
      <c r="DJ43" s="714"/>
      <c r="DK43" s="714"/>
      <c r="DL43" s="714"/>
      <c r="DM43" s="714"/>
      <c r="DN43" s="714"/>
      <c r="DO43" s="714"/>
      <c r="DP43" s="714"/>
      <c r="DQ43" s="714"/>
      <c r="DR43" s="714"/>
      <c r="DS43" s="714"/>
      <c r="DT43" s="714"/>
      <c r="DU43" s="714"/>
      <c r="DV43" s="714"/>
      <c r="DW43" s="714"/>
      <c r="DX43" s="714"/>
      <c r="DY43" s="714"/>
      <c r="DZ43" s="714"/>
      <c r="EA43" s="714"/>
      <c r="EB43" s="714"/>
      <c r="EC43" s="714"/>
      <c r="ED43" s="714"/>
      <c r="EE43" s="714"/>
      <c r="EF43" s="714"/>
      <c r="EG43" s="714"/>
      <c r="EH43" s="714"/>
      <c r="EI43" s="714"/>
      <c r="EJ43" s="714"/>
      <c r="EK43" s="714"/>
      <c r="EL43" s="714"/>
      <c r="EM43" s="714"/>
      <c r="EN43" s="714"/>
    </row>
    <row r="44" ht="21.0" customHeight="1">
      <c r="A44" s="813"/>
      <c r="B44" s="854" t="s">
        <v>1225</v>
      </c>
      <c r="C44" s="714"/>
      <c r="D44" s="714"/>
      <c r="E44" s="714"/>
      <c r="F44" s="714"/>
      <c r="G44" s="714"/>
      <c r="H44" s="714"/>
      <c r="I44" s="714"/>
      <c r="J44" s="714"/>
      <c r="K44" s="714"/>
      <c r="L44" s="714"/>
      <c r="M44" s="714"/>
      <c r="N44" s="714"/>
      <c r="O44" s="714"/>
      <c r="P44" s="714"/>
      <c r="Q44" s="714"/>
      <c r="R44" s="714"/>
      <c r="S44" s="714"/>
      <c r="T44" s="714"/>
      <c r="U44" s="714"/>
      <c r="V44" s="714"/>
      <c r="W44" s="714"/>
      <c r="X44" s="714"/>
      <c r="Y44" s="714"/>
      <c r="Z44" s="714"/>
      <c r="AA44" s="714"/>
      <c r="AB44" s="855" t="s">
        <v>101</v>
      </c>
      <c r="AE44" s="829" t="s">
        <v>1226</v>
      </c>
      <c r="AF44" s="834"/>
      <c r="AG44" s="714"/>
      <c r="AH44" s="714"/>
      <c r="AI44" s="714"/>
      <c r="AJ44" s="714"/>
      <c r="AK44" s="714"/>
      <c r="AL44" s="714"/>
      <c r="AM44" s="714"/>
      <c r="AN44" s="714"/>
      <c r="AO44" s="714"/>
      <c r="AP44" s="714"/>
      <c r="AQ44" s="714"/>
      <c r="AR44" s="714"/>
      <c r="AS44" s="714"/>
      <c r="AT44" s="714"/>
      <c r="AU44" s="714"/>
      <c r="AV44" s="714"/>
      <c r="AW44" s="714"/>
      <c r="AX44" s="714"/>
      <c r="AY44" s="714"/>
      <c r="AZ44" s="714"/>
      <c r="BA44" s="714"/>
      <c r="BB44" s="714"/>
      <c r="BC44" s="714"/>
      <c r="BD44" s="714"/>
      <c r="BE44" s="714"/>
      <c r="BF44" s="714"/>
      <c r="BG44" s="714"/>
      <c r="BH44" s="714"/>
      <c r="BI44" s="714"/>
      <c r="BJ44" s="714"/>
      <c r="BK44" s="714"/>
      <c r="BL44" s="714"/>
      <c r="BM44" s="714"/>
      <c r="BN44" s="714"/>
      <c r="BO44" s="714"/>
      <c r="BP44" s="714"/>
      <c r="BQ44" s="714"/>
      <c r="BR44" s="714"/>
      <c r="BS44" s="714"/>
      <c r="BT44" s="714"/>
      <c r="BU44" s="714"/>
      <c r="BV44" s="714"/>
      <c r="BW44" s="714"/>
      <c r="BX44" s="714"/>
      <c r="BY44" s="714"/>
      <c r="BZ44" s="714"/>
      <c r="CA44" s="714"/>
      <c r="CB44" s="714"/>
      <c r="CC44" s="714"/>
      <c r="CD44" s="714"/>
      <c r="CE44" s="714"/>
      <c r="CF44" s="714"/>
      <c r="CG44" s="714"/>
      <c r="CH44" s="714"/>
      <c r="CI44" s="714"/>
      <c r="CJ44" s="714"/>
      <c r="CK44" s="714"/>
      <c r="CL44" s="714"/>
      <c r="CM44" s="714"/>
      <c r="CN44" s="714"/>
      <c r="CO44" s="714"/>
      <c r="CP44" s="714"/>
      <c r="CQ44" s="714"/>
      <c r="CR44" s="714"/>
      <c r="CS44" s="714"/>
      <c r="CT44" s="714"/>
      <c r="CU44" s="714"/>
      <c r="CV44" s="714"/>
      <c r="CW44" s="714"/>
      <c r="CX44" s="714"/>
      <c r="CY44" s="714"/>
      <c r="CZ44" s="714"/>
      <c r="DA44" s="714"/>
      <c r="DB44" s="714"/>
      <c r="DC44" s="714"/>
      <c r="DD44" s="714"/>
      <c r="DE44" s="714"/>
      <c r="DF44" s="714"/>
      <c r="DG44" s="714"/>
      <c r="DH44" s="714"/>
      <c r="DI44" s="714"/>
      <c r="DJ44" s="714"/>
      <c r="DK44" s="714"/>
      <c r="DL44" s="714"/>
      <c r="DM44" s="714"/>
      <c r="DN44" s="714"/>
      <c r="DO44" s="714"/>
      <c r="DP44" s="714"/>
      <c r="DQ44" s="714"/>
      <c r="DR44" s="714"/>
      <c r="DS44" s="714"/>
      <c r="DT44" s="714"/>
      <c r="DU44" s="714"/>
      <c r="DV44" s="714"/>
      <c r="DW44" s="714"/>
      <c r="DX44" s="714"/>
      <c r="DY44" s="714"/>
      <c r="DZ44" s="714"/>
      <c r="EA44" s="714"/>
      <c r="EB44" s="714"/>
      <c r="EC44" s="714"/>
      <c r="ED44" s="714"/>
      <c r="EE44" s="714"/>
      <c r="EF44" s="714"/>
      <c r="EG44" s="714"/>
      <c r="EH44" s="714"/>
      <c r="EI44" s="714"/>
      <c r="EJ44" s="714"/>
      <c r="EK44" s="714"/>
      <c r="EL44" s="714"/>
      <c r="EM44" s="714"/>
      <c r="EN44" s="714"/>
    </row>
    <row r="45" ht="21.0" customHeight="1">
      <c r="A45" s="813"/>
      <c r="B45" s="856" t="s">
        <v>1227</v>
      </c>
      <c r="C45" s="714"/>
      <c r="D45" s="714"/>
      <c r="E45" s="714"/>
      <c r="F45" s="714"/>
      <c r="G45" s="714"/>
      <c r="H45" s="714"/>
      <c r="I45" s="714"/>
      <c r="J45" s="714"/>
      <c r="K45" s="714"/>
      <c r="L45" s="714"/>
      <c r="M45" s="714"/>
      <c r="N45" s="714"/>
      <c r="O45" s="714"/>
      <c r="P45" s="714"/>
      <c r="Q45" s="857" t="s">
        <v>1228</v>
      </c>
      <c r="AB45" s="858"/>
      <c r="AC45" s="859" t="s">
        <v>1229</v>
      </c>
      <c r="AF45" s="829" t="s">
        <v>1230</v>
      </c>
      <c r="AG45" s="834"/>
      <c r="AH45" s="714"/>
      <c r="AI45" s="714"/>
      <c r="AJ45" s="714"/>
      <c r="AK45" s="714"/>
      <c r="AL45" s="714"/>
      <c r="AM45" s="714"/>
      <c r="AN45" s="714"/>
      <c r="AO45" s="714"/>
      <c r="AP45" s="714"/>
      <c r="AQ45" s="714"/>
      <c r="AR45" s="714"/>
      <c r="AS45" s="714"/>
      <c r="AT45" s="714"/>
      <c r="AU45" s="714"/>
      <c r="AV45" s="714"/>
      <c r="AW45" s="714"/>
      <c r="AX45" s="714"/>
      <c r="AY45" s="714"/>
      <c r="AZ45" s="714"/>
      <c r="BA45" s="714"/>
      <c r="BB45" s="714"/>
      <c r="BC45" s="714"/>
      <c r="BD45" s="714"/>
      <c r="BE45" s="714"/>
      <c r="BF45" s="714"/>
      <c r="BG45" s="714"/>
      <c r="BH45" s="714"/>
      <c r="BI45" s="714"/>
      <c r="BJ45" s="714"/>
      <c r="BK45" s="714"/>
      <c r="BL45" s="714"/>
      <c r="BM45" s="714"/>
      <c r="BN45" s="714"/>
      <c r="BO45" s="714"/>
      <c r="BP45" s="714"/>
      <c r="BQ45" s="714"/>
      <c r="BR45" s="714"/>
      <c r="BS45" s="714"/>
      <c r="BT45" s="714"/>
      <c r="BU45" s="714"/>
      <c r="BV45" s="714"/>
      <c r="BW45" s="714"/>
      <c r="BX45" s="714"/>
      <c r="BY45" s="714"/>
      <c r="BZ45" s="714"/>
      <c r="CA45" s="714"/>
      <c r="CB45" s="714"/>
      <c r="CC45" s="714"/>
      <c r="CD45" s="714"/>
      <c r="CE45" s="714"/>
      <c r="CF45" s="714"/>
      <c r="CG45" s="714"/>
      <c r="CH45" s="714"/>
      <c r="CI45" s="714"/>
      <c r="CJ45" s="714"/>
      <c r="CK45" s="714"/>
      <c r="CL45" s="714"/>
      <c r="CM45" s="714"/>
      <c r="CN45" s="714"/>
      <c r="CO45" s="714"/>
      <c r="CP45" s="714"/>
      <c r="CQ45" s="714"/>
      <c r="CR45" s="714"/>
      <c r="CS45" s="714"/>
      <c r="CT45" s="714"/>
      <c r="CU45" s="714"/>
      <c r="CV45" s="714"/>
      <c r="CW45" s="714"/>
      <c r="CX45" s="714"/>
      <c r="CY45" s="714"/>
      <c r="CZ45" s="714"/>
      <c r="DA45" s="714"/>
      <c r="DB45" s="714"/>
      <c r="DC45" s="714"/>
      <c r="DD45" s="714"/>
      <c r="DE45" s="714"/>
      <c r="DF45" s="714"/>
      <c r="DG45" s="714"/>
      <c r="DH45" s="714"/>
      <c r="DI45" s="714"/>
      <c r="DJ45" s="714"/>
      <c r="DK45" s="714"/>
      <c r="DL45" s="714"/>
      <c r="DM45" s="714"/>
      <c r="DN45" s="714"/>
      <c r="DO45" s="714"/>
      <c r="DP45" s="714"/>
      <c r="DQ45" s="714"/>
      <c r="DR45" s="714"/>
      <c r="DS45" s="714"/>
      <c r="DT45" s="714"/>
      <c r="DU45" s="714"/>
      <c r="DV45" s="714"/>
      <c r="DW45" s="714"/>
      <c r="DX45" s="714"/>
      <c r="DY45" s="714"/>
      <c r="DZ45" s="714"/>
      <c r="EA45" s="714"/>
      <c r="EB45" s="714"/>
      <c r="EC45" s="714"/>
      <c r="ED45" s="714"/>
      <c r="EE45" s="714"/>
      <c r="EF45" s="714"/>
      <c r="EG45" s="714"/>
      <c r="EH45" s="714"/>
      <c r="EI45" s="714"/>
      <c r="EJ45" s="714"/>
      <c r="EK45" s="714"/>
      <c r="EL45" s="714"/>
      <c r="EM45" s="714"/>
      <c r="EN45" s="714"/>
    </row>
    <row r="46" ht="21.0" customHeight="1">
      <c r="A46" s="813"/>
      <c r="B46" s="860" t="s">
        <v>1231</v>
      </c>
      <c r="C46" s="714"/>
      <c r="D46" s="714"/>
      <c r="E46" s="714"/>
      <c r="F46" s="714"/>
      <c r="G46" s="714"/>
      <c r="H46" s="714"/>
      <c r="I46" s="714"/>
      <c r="J46" s="714"/>
      <c r="K46" s="714"/>
      <c r="L46" s="714"/>
      <c r="M46" s="714"/>
      <c r="N46" s="714"/>
      <c r="O46" s="714"/>
      <c r="P46" s="714"/>
      <c r="Q46" s="714"/>
      <c r="R46" s="714"/>
      <c r="S46" s="714"/>
      <c r="T46" s="714"/>
      <c r="U46" s="714"/>
      <c r="V46" s="714"/>
      <c r="W46" s="714"/>
      <c r="X46" s="714"/>
      <c r="Y46" s="714"/>
      <c r="Z46" s="714"/>
      <c r="AA46" s="714"/>
      <c r="AB46" s="714"/>
      <c r="AC46" s="714"/>
      <c r="AD46" s="714"/>
      <c r="AE46" s="714"/>
      <c r="AF46" s="714"/>
      <c r="AG46" s="714"/>
      <c r="AH46" s="714"/>
      <c r="AI46" s="714"/>
      <c r="AJ46" s="791" t="s">
        <v>195</v>
      </c>
      <c r="AU46" s="829" t="s">
        <v>1232</v>
      </c>
      <c r="AY46" s="714"/>
      <c r="AZ46" s="714"/>
      <c r="BA46" s="714"/>
      <c r="BB46" s="714"/>
      <c r="BC46" s="714"/>
      <c r="BD46" s="714"/>
      <c r="BE46" s="714"/>
      <c r="BF46" s="714"/>
      <c r="BG46" s="714"/>
      <c r="BH46" s="714"/>
      <c r="BI46" s="714"/>
      <c r="BJ46" s="714"/>
      <c r="BK46" s="714"/>
      <c r="BL46" s="714"/>
      <c r="BM46" s="714"/>
      <c r="BN46" s="714"/>
      <c r="BO46" s="714"/>
      <c r="BP46" s="714"/>
      <c r="BQ46" s="714"/>
      <c r="BR46" s="714"/>
      <c r="BS46" s="714"/>
      <c r="BT46" s="714"/>
      <c r="BU46" s="714"/>
      <c r="BV46" s="714"/>
      <c r="BW46" s="714"/>
      <c r="BX46" s="714"/>
      <c r="BY46" s="714"/>
      <c r="BZ46" s="714"/>
      <c r="CA46" s="714"/>
      <c r="CB46" s="714"/>
      <c r="CC46" s="714"/>
      <c r="CD46" s="714"/>
      <c r="CE46" s="714"/>
      <c r="CF46" s="714"/>
      <c r="CG46" s="714"/>
      <c r="CH46" s="714"/>
      <c r="CI46" s="714"/>
      <c r="CJ46" s="714"/>
      <c r="CK46" s="714"/>
      <c r="CL46" s="714"/>
      <c r="CM46" s="714"/>
      <c r="CN46" s="714"/>
      <c r="CO46" s="714"/>
      <c r="CP46" s="714"/>
      <c r="CQ46" s="714"/>
      <c r="CR46" s="714"/>
      <c r="CS46" s="714"/>
      <c r="CT46" s="714"/>
      <c r="CU46" s="714"/>
      <c r="CV46" s="714"/>
      <c r="CW46" s="714"/>
      <c r="CX46" s="714"/>
      <c r="CY46" s="714"/>
      <c r="CZ46" s="714"/>
      <c r="DA46" s="714"/>
      <c r="DB46" s="714"/>
      <c r="DC46" s="714"/>
      <c r="DD46" s="714"/>
      <c r="DE46" s="714"/>
      <c r="DF46" s="714"/>
      <c r="DG46" s="714"/>
      <c r="DH46" s="714"/>
      <c r="DI46" s="714"/>
      <c r="DJ46" s="714"/>
      <c r="DK46" s="714"/>
      <c r="DL46" s="714"/>
      <c r="DM46" s="714"/>
      <c r="DN46" s="714"/>
      <c r="DO46" s="714"/>
      <c r="DP46" s="714"/>
      <c r="DQ46" s="714"/>
      <c r="DR46" s="714"/>
      <c r="DS46" s="714"/>
      <c r="DT46" s="714"/>
      <c r="DU46" s="714"/>
      <c r="DV46" s="714"/>
      <c r="DW46" s="714"/>
      <c r="DX46" s="714"/>
      <c r="DY46" s="714"/>
      <c r="DZ46" s="714"/>
      <c r="EA46" s="714"/>
      <c r="EB46" s="714"/>
      <c r="EC46" s="714"/>
      <c r="ED46" s="714"/>
      <c r="EE46" s="714"/>
      <c r="EF46" s="714"/>
      <c r="EG46" s="714"/>
      <c r="EH46" s="714"/>
      <c r="EI46" s="714"/>
      <c r="EJ46" s="714"/>
      <c r="EK46" s="714"/>
      <c r="EL46" s="714"/>
      <c r="EM46" s="714"/>
      <c r="EN46" s="714"/>
    </row>
    <row r="47" ht="21.0" customHeight="1">
      <c r="A47" s="813"/>
      <c r="B47" s="861" t="s">
        <v>1233</v>
      </c>
      <c r="C47" s="714"/>
      <c r="D47" s="714"/>
      <c r="E47" s="714"/>
      <c r="F47" s="714"/>
      <c r="G47" s="714"/>
      <c r="H47" s="714"/>
      <c r="I47" s="714"/>
      <c r="J47" s="714"/>
      <c r="K47" s="714"/>
      <c r="L47" s="714"/>
      <c r="M47" s="714"/>
      <c r="N47" s="714"/>
      <c r="O47" s="714"/>
      <c r="P47" s="714"/>
      <c r="Q47" s="834"/>
      <c r="R47" s="834"/>
      <c r="S47" s="815" t="s">
        <v>1234</v>
      </c>
      <c r="T47" s="778" t="s">
        <v>106</v>
      </c>
      <c r="V47" s="862"/>
      <c r="W47" s="863" t="s">
        <v>101</v>
      </c>
      <c r="AA47" s="862"/>
      <c r="AB47" s="863" t="s">
        <v>1235</v>
      </c>
      <c r="AI47" s="862"/>
      <c r="AJ47" s="863" t="s">
        <v>440</v>
      </c>
      <c r="AO47" s="829" t="s">
        <v>1236</v>
      </c>
      <c r="AP47" s="834"/>
      <c r="AQ47" s="834"/>
      <c r="AR47" s="834"/>
      <c r="AS47" s="714"/>
      <c r="AT47" s="714"/>
      <c r="AU47" s="714"/>
      <c r="AV47" s="714"/>
      <c r="AW47" s="714"/>
      <c r="AX47" s="714"/>
      <c r="AY47" s="714"/>
      <c r="AZ47" s="714"/>
      <c r="BA47" s="714"/>
      <c r="BB47" s="714"/>
      <c r="BC47" s="714"/>
      <c r="BD47" s="714"/>
      <c r="BE47" s="714"/>
      <c r="BF47" s="714"/>
      <c r="BG47" s="714"/>
      <c r="BH47" s="714"/>
      <c r="BI47" s="714"/>
      <c r="BJ47" s="714"/>
      <c r="BK47" s="714"/>
      <c r="BL47" s="714"/>
      <c r="BM47" s="714"/>
      <c r="BN47" s="714"/>
      <c r="BO47" s="714"/>
      <c r="BP47" s="714"/>
      <c r="BQ47" s="714"/>
      <c r="BR47" s="714"/>
      <c r="BS47" s="714"/>
      <c r="BT47" s="714"/>
      <c r="BU47" s="714"/>
      <c r="BV47" s="714"/>
      <c r="BW47" s="714"/>
      <c r="BX47" s="714"/>
      <c r="BY47" s="714"/>
      <c r="BZ47" s="714"/>
      <c r="CA47" s="714"/>
      <c r="CB47" s="714"/>
      <c r="CC47" s="714"/>
      <c r="CD47" s="714"/>
      <c r="CE47" s="714"/>
      <c r="CF47" s="714"/>
      <c r="CG47" s="714"/>
      <c r="CH47" s="714"/>
      <c r="CI47" s="714"/>
      <c r="CJ47" s="714"/>
      <c r="CK47" s="714"/>
      <c r="CL47" s="714"/>
      <c r="CM47" s="714"/>
      <c r="CN47" s="714"/>
      <c r="CO47" s="714"/>
      <c r="CP47" s="714"/>
      <c r="CQ47" s="714"/>
      <c r="CR47" s="714"/>
      <c r="CS47" s="714"/>
      <c r="CT47" s="714"/>
      <c r="CU47" s="714"/>
      <c r="CV47" s="714"/>
      <c r="CW47" s="714"/>
      <c r="CX47" s="714"/>
      <c r="CY47" s="714"/>
      <c r="CZ47" s="714"/>
      <c r="DA47" s="714"/>
      <c r="DB47" s="714"/>
      <c r="DC47" s="714"/>
      <c r="DD47" s="714"/>
      <c r="DE47" s="714"/>
      <c r="DF47" s="714"/>
      <c r="DG47" s="714"/>
      <c r="DH47" s="714"/>
      <c r="DI47" s="714"/>
      <c r="DJ47" s="714"/>
      <c r="DK47" s="714"/>
      <c r="DL47" s="714"/>
      <c r="DM47" s="714"/>
      <c r="DN47" s="714"/>
      <c r="DO47" s="714"/>
      <c r="DP47" s="714"/>
      <c r="DQ47" s="714"/>
      <c r="DR47" s="714"/>
      <c r="DS47" s="714"/>
      <c r="DT47" s="714"/>
      <c r="DU47" s="714"/>
      <c r="DV47" s="714"/>
      <c r="DW47" s="714"/>
      <c r="DX47" s="714"/>
      <c r="DY47" s="714"/>
      <c r="DZ47" s="714"/>
      <c r="EA47" s="714"/>
      <c r="EB47" s="714"/>
      <c r="EC47" s="714"/>
      <c r="ED47" s="714"/>
      <c r="EE47" s="714"/>
      <c r="EF47" s="714"/>
      <c r="EG47" s="714"/>
      <c r="EH47" s="714"/>
      <c r="EI47" s="714"/>
      <c r="EJ47" s="714"/>
      <c r="EK47" s="714"/>
      <c r="EL47" s="714"/>
      <c r="EM47" s="714"/>
      <c r="EN47" s="714"/>
    </row>
    <row r="48" ht="21.0" customHeight="1">
      <c r="A48" s="813"/>
      <c r="B48" s="864" t="s">
        <v>1237</v>
      </c>
      <c r="C48" s="714"/>
      <c r="D48" s="714"/>
      <c r="E48" s="714"/>
      <c r="F48" s="714"/>
      <c r="G48" s="714"/>
      <c r="H48" s="714"/>
      <c r="I48" s="714"/>
      <c r="J48" s="714"/>
      <c r="K48" s="714"/>
      <c r="L48" s="714"/>
      <c r="M48" s="714"/>
      <c r="N48" s="714"/>
      <c r="O48" s="714"/>
      <c r="P48" s="714"/>
      <c r="Q48" s="714"/>
      <c r="R48" s="714"/>
      <c r="S48" s="714"/>
      <c r="T48" s="714"/>
      <c r="U48" s="714"/>
      <c r="V48" s="714"/>
      <c r="W48" s="714"/>
      <c r="X48" s="714"/>
      <c r="Y48" s="714"/>
      <c r="Z48" s="714"/>
      <c r="AA48" s="714"/>
      <c r="AB48" s="714"/>
      <c r="AC48" s="714"/>
      <c r="AD48" s="714"/>
      <c r="AE48" s="714"/>
      <c r="AF48" s="714"/>
      <c r="AG48" s="714"/>
      <c r="AH48" s="714"/>
      <c r="AI48" s="714"/>
      <c r="AJ48" s="714"/>
      <c r="AK48" s="865" t="s">
        <v>1238</v>
      </c>
      <c r="AO48" s="829" t="s">
        <v>1186</v>
      </c>
      <c r="AP48" s="829"/>
      <c r="AQ48" s="829"/>
      <c r="AR48" s="829"/>
      <c r="AS48" s="714"/>
      <c r="AT48" s="714"/>
      <c r="AU48" s="714"/>
      <c r="AV48" s="714"/>
      <c r="AW48" s="714"/>
      <c r="AX48" s="714"/>
      <c r="AY48" s="714"/>
      <c r="AZ48" s="714"/>
      <c r="BA48" s="714"/>
      <c r="BB48" s="714"/>
      <c r="BC48" s="714"/>
      <c r="BD48" s="714"/>
      <c r="BE48" s="714"/>
      <c r="BF48" s="714"/>
      <c r="BG48" s="714"/>
      <c r="BH48" s="714"/>
      <c r="BI48" s="714"/>
      <c r="BJ48" s="714"/>
      <c r="BK48" s="714"/>
      <c r="BL48" s="714"/>
      <c r="BM48" s="714"/>
      <c r="BN48" s="714"/>
      <c r="BO48" s="714"/>
      <c r="BP48" s="714"/>
      <c r="BQ48" s="714"/>
      <c r="BR48" s="714"/>
      <c r="BS48" s="714"/>
      <c r="BT48" s="714"/>
      <c r="BU48" s="714"/>
      <c r="BV48" s="714"/>
      <c r="BW48" s="714"/>
      <c r="BX48" s="714"/>
      <c r="BY48" s="714"/>
      <c r="BZ48" s="714"/>
      <c r="CA48" s="714"/>
      <c r="CB48" s="714"/>
      <c r="CC48" s="714"/>
      <c r="CD48" s="714"/>
      <c r="CE48" s="714"/>
      <c r="CF48" s="714"/>
      <c r="CG48" s="714"/>
      <c r="CH48" s="714"/>
      <c r="CI48" s="714"/>
      <c r="CJ48" s="714"/>
      <c r="CK48" s="714"/>
      <c r="CL48" s="714"/>
      <c r="CM48" s="714"/>
      <c r="CN48" s="714"/>
      <c r="CO48" s="714"/>
      <c r="CP48" s="714"/>
      <c r="CQ48" s="714"/>
      <c r="CR48" s="714"/>
      <c r="CS48" s="714"/>
      <c r="CT48" s="714"/>
      <c r="CU48" s="714"/>
      <c r="CV48" s="714"/>
      <c r="CW48" s="714"/>
      <c r="CX48" s="714"/>
      <c r="CY48" s="714"/>
      <c r="CZ48" s="714"/>
      <c r="DA48" s="714"/>
      <c r="DB48" s="714"/>
      <c r="DC48" s="714"/>
      <c r="DD48" s="714"/>
      <c r="DE48" s="714"/>
      <c r="DF48" s="714"/>
      <c r="DG48" s="714"/>
      <c r="DH48" s="714"/>
      <c r="DI48" s="714"/>
      <c r="DJ48" s="714"/>
      <c r="DK48" s="714"/>
      <c r="DL48" s="714"/>
      <c r="DM48" s="714"/>
      <c r="DN48" s="714"/>
      <c r="DO48" s="714"/>
      <c r="DP48" s="714"/>
      <c r="DQ48" s="714"/>
      <c r="DR48" s="714"/>
      <c r="DS48" s="714"/>
      <c r="DT48" s="714"/>
      <c r="DU48" s="714"/>
      <c r="DV48" s="714"/>
      <c r="DW48" s="714"/>
      <c r="DX48" s="714"/>
      <c r="DY48" s="714"/>
      <c r="DZ48" s="714"/>
      <c r="EA48" s="714"/>
      <c r="EB48" s="714"/>
      <c r="EC48" s="714"/>
      <c r="ED48" s="714"/>
      <c r="EE48" s="714"/>
      <c r="EF48" s="714"/>
      <c r="EG48" s="714"/>
      <c r="EH48" s="714"/>
      <c r="EI48" s="714"/>
      <c r="EJ48" s="714"/>
      <c r="EK48" s="714"/>
      <c r="EL48" s="714"/>
      <c r="EM48" s="714"/>
      <c r="EN48" s="714"/>
    </row>
    <row r="49" ht="21.0" customHeight="1">
      <c r="A49" s="813"/>
      <c r="B49" s="866" t="s">
        <v>1239</v>
      </c>
      <c r="C49" s="714"/>
      <c r="D49" s="714"/>
      <c r="E49" s="714"/>
      <c r="F49" s="714"/>
      <c r="G49" s="714"/>
      <c r="H49" s="714"/>
      <c r="I49" s="714"/>
      <c r="J49" s="714"/>
      <c r="K49" s="714"/>
      <c r="L49" s="714"/>
      <c r="M49" s="714"/>
      <c r="N49" s="714"/>
      <c r="O49" s="714"/>
      <c r="P49" s="714"/>
      <c r="Q49" s="714"/>
      <c r="R49" s="714"/>
      <c r="S49" s="714"/>
      <c r="T49" s="714"/>
      <c r="U49" s="714"/>
      <c r="V49" s="714"/>
      <c r="W49" s="714"/>
      <c r="X49" s="714"/>
      <c r="Y49" s="714"/>
      <c r="Z49" s="714"/>
      <c r="AA49" s="714"/>
      <c r="AB49" s="714"/>
      <c r="AC49" s="714"/>
      <c r="AD49" s="714"/>
      <c r="AE49" s="714"/>
      <c r="AF49" s="714"/>
      <c r="AG49" s="714"/>
      <c r="AH49" s="714"/>
      <c r="AI49" s="714"/>
      <c r="AJ49" s="714"/>
      <c r="AK49" s="867" t="s">
        <v>1240</v>
      </c>
      <c r="AO49" s="829" t="s">
        <v>1241</v>
      </c>
      <c r="AP49" s="834"/>
      <c r="AQ49" s="834"/>
      <c r="AR49" s="714"/>
      <c r="AS49" s="714"/>
      <c r="AT49" s="714"/>
      <c r="AU49" s="714"/>
      <c r="AV49" s="714"/>
      <c r="AW49" s="714"/>
      <c r="AX49" s="714"/>
      <c r="AY49" s="714"/>
      <c r="AZ49" s="714"/>
      <c r="BA49" s="714"/>
      <c r="BB49" s="714"/>
      <c r="BC49" s="714"/>
      <c r="BD49" s="714"/>
      <c r="BE49" s="714"/>
      <c r="BF49" s="714"/>
      <c r="BG49" s="714"/>
      <c r="BH49" s="714"/>
      <c r="BI49" s="714"/>
      <c r="BJ49" s="714"/>
      <c r="BK49" s="714"/>
      <c r="BL49" s="714"/>
      <c r="BM49" s="714"/>
      <c r="BN49" s="714"/>
      <c r="BO49" s="714"/>
      <c r="BP49" s="714"/>
      <c r="BQ49" s="714"/>
      <c r="BR49" s="714"/>
      <c r="BS49" s="714"/>
      <c r="BT49" s="714"/>
      <c r="BU49" s="714"/>
      <c r="BV49" s="714"/>
      <c r="BW49" s="714"/>
      <c r="BX49" s="714"/>
      <c r="BY49" s="714"/>
      <c r="BZ49" s="714"/>
      <c r="CA49" s="714"/>
      <c r="CB49" s="714"/>
      <c r="CC49" s="714"/>
      <c r="CD49" s="714"/>
      <c r="CE49" s="714"/>
      <c r="CF49" s="714"/>
      <c r="CG49" s="714"/>
      <c r="CH49" s="714"/>
      <c r="CI49" s="714"/>
      <c r="CJ49" s="714"/>
      <c r="CK49" s="714"/>
      <c r="CL49" s="714"/>
      <c r="CM49" s="714"/>
      <c r="CN49" s="714"/>
      <c r="CO49" s="714"/>
      <c r="CP49" s="714"/>
      <c r="CQ49" s="714"/>
      <c r="CR49" s="714"/>
      <c r="CS49" s="714"/>
      <c r="CT49" s="714"/>
      <c r="CU49" s="714"/>
      <c r="CV49" s="714"/>
      <c r="CW49" s="714"/>
      <c r="CX49" s="714"/>
      <c r="CY49" s="714"/>
      <c r="CZ49" s="714"/>
      <c r="DA49" s="714"/>
      <c r="DB49" s="714"/>
      <c r="DC49" s="714"/>
      <c r="DD49" s="714"/>
      <c r="DE49" s="714"/>
      <c r="DF49" s="714"/>
      <c r="DG49" s="714"/>
      <c r="DH49" s="714"/>
      <c r="DI49" s="714"/>
      <c r="DJ49" s="714"/>
      <c r="DK49" s="714"/>
      <c r="DL49" s="714"/>
      <c r="DM49" s="714"/>
      <c r="DN49" s="714"/>
      <c r="DO49" s="714"/>
      <c r="DP49" s="714"/>
      <c r="DQ49" s="714"/>
      <c r="DR49" s="714"/>
      <c r="DS49" s="714"/>
      <c r="DT49" s="714"/>
      <c r="DU49" s="714"/>
      <c r="DV49" s="714"/>
      <c r="DW49" s="714"/>
      <c r="DX49" s="714"/>
      <c r="DY49" s="714"/>
      <c r="DZ49" s="714"/>
      <c r="EA49" s="714"/>
      <c r="EB49" s="714"/>
      <c r="EC49" s="714"/>
      <c r="ED49" s="714"/>
      <c r="EE49" s="714"/>
      <c r="EF49" s="714"/>
      <c r="EG49" s="714"/>
      <c r="EH49" s="714"/>
      <c r="EI49" s="714"/>
      <c r="EJ49" s="714"/>
      <c r="EK49" s="714"/>
      <c r="EL49" s="714"/>
      <c r="EM49" s="714"/>
      <c r="EN49" s="714"/>
    </row>
    <row r="50" ht="21.0" customHeight="1">
      <c r="A50" s="813"/>
      <c r="B50" s="868" t="s">
        <v>243</v>
      </c>
      <c r="C50" s="869"/>
      <c r="D50" s="869"/>
      <c r="E50" s="869"/>
      <c r="F50" s="869"/>
      <c r="G50" s="869"/>
      <c r="H50" s="869"/>
      <c r="I50" s="869"/>
      <c r="J50" s="869"/>
      <c r="K50" s="869"/>
      <c r="L50" s="869"/>
      <c r="M50" s="869"/>
      <c r="N50" s="869"/>
      <c r="O50" s="869"/>
      <c r="P50" s="869"/>
      <c r="Q50" s="869"/>
      <c r="R50" s="869"/>
      <c r="S50" s="869"/>
      <c r="T50" s="869"/>
      <c r="U50" s="869"/>
      <c r="V50" s="869"/>
      <c r="W50" s="869"/>
      <c r="X50" s="869"/>
      <c r="Y50" s="869"/>
      <c r="Z50" s="869"/>
      <c r="AA50" s="869"/>
      <c r="AB50" s="869"/>
      <c r="AC50" s="869"/>
      <c r="AD50" s="869"/>
      <c r="AE50" s="869"/>
      <c r="AF50" s="869"/>
      <c r="AG50" s="869"/>
      <c r="AH50" s="869"/>
      <c r="AI50" s="869"/>
      <c r="AJ50" s="869"/>
      <c r="AK50" s="869"/>
      <c r="AL50" s="870"/>
      <c r="AM50" s="870"/>
      <c r="AN50" s="870" t="s">
        <v>1242</v>
      </c>
      <c r="AO50" s="871" t="s">
        <v>1144</v>
      </c>
      <c r="AZ50" s="872" t="s">
        <v>1243</v>
      </c>
      <c r="BA50" s="873"/>
      <c r="BB50" s="874"/>
      <c r="BC50" s="869"/>
      <c r="BD50" s="869"/>
      <c r="BE50" s="869"/>
      <c r="BF50" s="869"/>
      <c r="BG50" s="869"/>
      <c r="BH50" s="869"/>
      <c r="BI50" s="869"/>
      <c r="BJ50" s="869"/>
      <c r="BK50" s="869"/>
      <c r="BL50" s="869"/>
      <c r="BM50" s="869"/>
      <c r="BN50" s="869"/>
      <c r="BO50" s="869"/>
      <c r="BP50" s="869"/>
      <c r="BQ50" s="869"/>
      <c r="BR50" s="869"/>
      <c r="BS50" s="869"/>
      <c r="BT50" s="869"/>
      <c r="BU50" s="869"/>
      <c r="BV50" s="869"/>
      <c r="BW50" s="869"/>
      <c r="BX50" s="869"/>
      <c r="BY50" s="869"/>
      <c r="BZ50" s="869"/>
      <c r="CA50" s="869"/>
      <c r="CB50" s="869"/>
      <c r="CC50" s="869"/>
      <c r="CD50" s="869"/>
      <c r="CE50" s="869"/>
      <c r="CF50" s="869"/>
      <c r="CG50" s="869"/>
      <c r="CH50" s="869"/>
      <c r="CI50" s="869"/>
      <c r="CJ50" s="869"/>
      <c r="CK50" s="869"/>
      <c r="CL50" s="869"/>
      <c r="CM50" s="869"/>
      <c r="CN50" s="869"/>
      <c r="CO50" s="869"/>
      <c r="CP50" s="869"/>
      <c r="CQ50" s="869"/>
      <c r="CR50" s="869"/>
      <c r="CS50" s="869"/>
      <c r="CT50" s="869"/>
      <c r="CU50" s="869"/>
      <c r="CV50" s="869"/>
      <c r="CW50" s="869"/>
      <c r="CX50" s="869"/>
      <c r="CY50" s="869"/>
      <c r="CZ50" s="869"/>
      <c r="DA50" s="869"/>
      <c r="DB50" s="869"/>
      <c r="DC50" s="869"/>
      <c r="DD50" s="869"/>
      <c r="DE50" s="869"/>
      <c r="DF50" s="869"/>
      <c r="DG50" s="869"/>
      <c r="DH50" s="869"/>
      <c r="DI50" s="869"/>
      <c r="DJ50" s="869"/>
      <c r="DK50" s="869"/>
      <c r="DL50" s="869"/>
      <c r="DM50" s="869"/>
      <c r="DN50" s="869"/>
      <c r="DO50" s="869"/>
      <c r="DP50" s="869"/>
      <c r="DQ50" s="869"/>
      <c r="DR50" s="869"/>
      <c r="DS50" s="869"/>
      <c r="DT50" s="869"/>
      <c r="DU50" s="869"/>
      <c r="DV50" s="869"/>
      <c r="DW50" s="869"/>
      <c r="DX50" s="869"/>
      <c r="DY50" s="869"/>
      <c r="DZ50" s="869"/>
      <c r="EA50" s="869"/>
      <c r="EB50" s="869"/>
      <c r="EC50" s="869"/>
      <c r="ED50" s="869"/>
      <c r="EE50" s="869"/>
      <c r="EF50" s="869"/>
      <c r="EG50" s="869"/>
      <c r="EH50" s="869"/>
      <c r="EI50" s="869"/>
      <c r="EJ50" s="869"/>
      <c r="EK50" s="869"/>
      <c r="EL50" s="869"/>
      <c r="EM50" s="869"/>
      <c r="EN50" s="869"/>
    </row>
    <row r="51" ht="21.0" customHeight="1">
      <c r="A51" s="813"/>
      <c r="B51" s="875" t="s">
        <v>1244</v>
      </c>
      <c r="C51" s="869"/>
      <c r="D51" s="869"/>
      <c r="E51" s="869"/>
      <c r="F51" s="869"/>
      <c r="G51" s="869"/>
      <c r="H51" s="869"/>
      <c r="I51" s="869"/>
      <c r="J51" s="869"/>
      <c r="K51" s="869"/>
      <c r="L51" s="869"/>
      <c r="M51" s="869"/>
      <c r="N51" s="869"/>
      <c r="O51" s="869"/>
      <c r="P51" s="869"/>
      <c r="Q51" s="869"/>
      <c r="R51" s="869"/>
      <c r="S51" s="869"/>
      <c r="T51" s="869"/>
      <c r="U51" s="869"/>
      <c r="V51" s="869"/>
      <c r="W51" s="869"/>
      <c r="X51" s="869"/>
      <c r="Y51" s="869"/>
      <c r="Z51" s="869"/>
      <c r="AA51" s="869"/>
      <c r="AB51" s="869"/>
      <c r="AC51" s="869"/>
      <c r="AD51" s="869"/>
      <c r="AE51" s="869"/>
      <c r="AF51" s="869"/>
      <c r="AG51" s="869"/>
      <c r="AH51" s="869"/>
      <c r="AI51" s="869"/>
      <c r="AJ51" s="869"/>
      <c r="AK51" s="869"/>
      <c r="AL51" s="869"/>
      <c r="AM51" s="869"/>
      <c r="AN51" s="869"/>
      <c r="AO51" s="869"/>
      <c r="AP51" s="869"/>
      <c r="AQ51" s="869"/>
      <c r="AR51" s="869"/>
      <c r="AS51" s="869"/>
      <c r="AT51" s="869"/>
      <c r="AU51" s="876" t="s">
        <v>1244</v>
      </c>
      <c r="AY51" s="135"/>
      <c r="AZ51" s="877" t="s">
        <v>1228</v>
      </c>
      <c r="BE51" s="878" t="s">
        <v>1245</v>
      </c>
      <c r="BF51" s="879"/>
      <c r="BG51" s="869"/>
      <c r="BH51" s="869"/>
      <c r="BI51" s="869"/>
      <c r="BJ51" s="869"/>
      <c r="BK51" s="869"/>
      <c r="BL51" s="869"/>
      <c r="BM51" s="869"/>
      <c r="BN51" s="869"/>
      <c r="BO51" s="869"/>
      <c r="BP51" s="869"/>
      <c r="BQ51" s="869"/>
      <c r="BR51" s="869"/>
      <c r="BS51" s="869"/>
      <c r="BT51" s="869"/>
      <c r="BU51" s="869"/>
      <c r="BV51" s="869"/>
      <c r="BW51" s="869"/>
      <c r="BX51" s="869"/>
      <c r="BY51" s="869"/>
      <c r="BZ51" s="869"/>
      <c r="CA51" s="869"/>
      <c r="CB51" s="869"/>
      <c r="CC51" s="869"/>
      <c r="CD51" s="869"/>
      <c r="CE51" s="869"/>
      <c r="CF51" s="869"/>
      <c r="CG51" s="869"/>
      <c r="CH51" s="869"/>
      <c r="CI51" s="869"/>
      <c r="CJ51" s="869"/>
      <c r="CK51" s="869"/>
      <c r="CL51" s="869"/>
      <c r="CM51" s="869"/>
      <c r="CN51" s="869"/>
      <c r="CO51" s="869"/>
      <c r="CP51" s="869"/>
      <c r="CQ51" s="869"/>
      <c r="CR51" s="869"/>
      <c r="CS51" s="869"/>
      <c r="CT51" s="869"/>
      <c r="CU51" s="869"/>
      <c r="CV51" s="869"/>
      <c r="CW51" s="869"/>
      <c r="CX51" s="869"/>
      <c r="CY51" s="869"/>
      <c r="CZ51" s="869"/>
      <c r="DA51" s="869"/>
      <c r="DB51" s="869"/>
      <c r="DC51" s="869"/>
      <c r="DD51" s="869"/>
      <c r="DE51" s="869"/>
      <c r="DF51" s="869"/>
      <c r="DG51" s="869"/>
      <c r="DH51" s="869"/>
      <c r="DI51" s="869"/>
      <c r="DJ51" s="869"/>
      <c r="DK51" s="869"/>
      <c r="DL51" s="869"/>
      <c r="DM51" s="869"/>
      <c r="DN51" s="869"/>
      <c r="DO51" s="869"/>
      <c r="DP51" s="869"/>
      <c r="DQ51" s="869"/>
      <c r="DR51" s="869"/>
      <c r="DS51" s="869"/>
      <c r="DT51" s="869"/>
      <c r="DU51" s="869"/>
      <c r="DV51" s="869"/>
      <c r="DW51" s="869"/>
      <c r="DX51" s="869"/>
      <c r="DY51" s="869"/>
      <c r="DZ51" s="869"/>
      <c r="EA51" s="869"/>
      <c r="EB51" s="869"/>
      <c r="EC51" s="869"/>
      <c r="ED51" s="869"/>
      <c r="EE51" s="869"/>
      <c r="EF51" s="869"/>
      <c r="EG51" s="869"/>
      <c r="EH51" s="869"/>
      <c r="EI51" s="869"/>
      <c r="EJ51" s="869"/>
      <c r="EK51" s="869"/>
      <c r="EL51" s="869"/>
      <c r="EM51" s="869"/>
      <c r="EN51" s="869"/>
    </row>
    <row r="52" ht="21.0" customHeight="1">
      <c r="A52" s="813"/>
      <c r="B52" s="727" t="s">
        <v>200</v>
      </c>
      <c r="C52" s="869"/>
      <c r="D52" s="869"/>
      <c r="E52" s="869"/>
      <c r="F52" s="869"/>
      <c r="G52" s="869"/>
      <c r="H52" s="869"/>
      <c r="I52" s="869"/>
      <c r="J52" s="869"/>
      <c r="K52" s="869"/>
      <c r="L52" s="869"/>
      <c r="M52" s="869"/>
      <c r="N52" s="869"/>
      <c r="O52" s="869"/>
      <c r="P52" s="869"/>
      <c r="Q52" s="869"/>
      <c r="R52" s="869"/>
      <c r="S52" s="869"/>
      <c r="T52" s="869"/>
      <c r="U52" s="869"/>
      <c r="V52" s="869"/>
      <c r="W52" s="869"/>
      <c r="X52" s="869"/>
      <c r="Y52" s="869"/>
      <c r="Z52" s="869"/>
      <c r="AA52" s="869"/>
      <c r="AB52" s="869"/>
      <c r="AC52" s="869"/>
      <c r="AD52" s="880" t="s">
        <v>1246</v>
      </c>
      <c r="AF52" s="881" t="s">
        <v>1135</v>
      </c>
      <c r="BB52" s="728"/>
      <c r="BC52" s="882" t="s">
        <v>1176</v>
      </c>
      <c r="BG52" s="872" t="s">
        <v>1247</v>
      </c>
      <c r="BH52" s="874"/>
      <c r="BI52" s="714"/>
      <c r="BJ52" s="714"/>
      <c r="BK52" s="714"/>
      <c r="BL52" s="714"/>
      <c r="BM52" s="714"/>
      <c r="BN52" s="714"/>
      <c r="BO52" s="714"/>
      <c r="BP52" s="714"/>
      <c r="BQ52" s="714"/>
      <c r="BR52" s="714"/>
      <c r="BS52" s="714"/>
      <c r="BT52" s="714"/>
      <c r="BU52" s="714"/>
      <c r="BV52" s="714"/>
      <c r="BW52" s="714"/>
      <c r="BX52" s="714"/>
      <c r="BY52" s="714"/>
      <c r="BZ52" s="714"/>
      <c r="CA52" s="714"/>
      <c r="CB52" s="714"/>
      <c r="CC52" s="714"/>
      <c r="CD52" s="714"/>
      <c r="CE52" s="714"/>
      <c r="CF52" s="714"/>
      <c r="CG52" s="714"/>
      <c r="CH52" s="714"/>
      <c r="CI52" s="714"/>
      <c r="CJ52" s="714"/>
      <c r="CK52" s="714"/>
      <c r="CL52" s="714"/>
      <c r="CM52" s="714"/>
      <c r="CN52" s="714"/>
      <c r="CO52" s="714"/>
      <c r="CP52" s="714"/>
      <c r="CQ52" s="714"/>
      <c r="CR52" s="714"/>
      <c r="CS52" s="714"/>
      <c r="CT52" s="714"/>
      <c r="CU52" s="714"/>
      <c r="CV52" s="714"/>
      <c r="CW52" s="714"/>
      <c r="CX52" s="714"/>
      <c r="CY52" s="714"/>
      <c r="CZ52" s="714"/>
      <c r="DA52" s="714"/>
      <c r="DB52" s="714"/>
      <c r="DC52" s="714"/>
      <c r="DD52" s="714"/>
      <c r="DE52" s="714"/>
      <c r="DF52" s="714"/>
      <c r="DG52" s="714"/>
      <c r="DH52" s="714"/>
      <c r="DI52" s="714"/>
      <c r="DJ52" s="714"/>
      <c r="DK52" s="714"/>
      <c r="DL52" s="714"/>
      <c r="DM52" s="714"/>
      <c r="DN52" s="714"/>
      <c r="DO52" s="714"/>
      <c r="DP52" s="714"/>
      <c r="DQ52" s="714"/>
      <c r="DR52" s="714"/>
      <c r="DS52" s="714"/>
      <c r="DT52" s="714"/>
      <c r="DU52" s="714"/>
      <c r="DV52" s="714"/>
      <c r="DW52" s="714"/>
      <c r="DX52" s="714"/>
      <c r="DY52" s="714"/>
      <c r="DZ52" s="714"/>
      <c r="EA52" s="714"/>
      <c r="EB52" s="714"/>
      <c r="EC52" s="714"/>
      <c r="ED52" s="714"/>
      <c r="EE52" s="714"/>
      <c r="EF52" s="714"/>
      <c r="EG52" s="714"/>
      <c r="EH52" s="714"/>
      <c r="EI52" s="714"/>
      <c r="EJ52" s="714"/>
      <c r="EK52" s="714"/>
      <c r="EL52" s="714"/>
      <c r="EM52" s="714"/>
      <c r="EN52" s="714"/>
    </row>
    <row r="53" ht="21.0" customHeight="1">
      <c r="A53" s="813"/>
      <c r="B53" s="883" t="s">
        <v>234</v>
      </c>
      <c r="C53" s="726" t="s">
        <v>1248</v>
      </c>
      <c r="H53" s="135"/>
      <c r="I53" s="730" t="s">
        <v>1249</v>
      </c>
      <c r="P53" s="135"/>
      <c r="Q53" s="730" t="s">
        <v>1143</v>
      </c>
      <c r="AN53" s="135"/>
      <c r="AO53" s="730" t="s">
        <v>1250</v>
      </c>
      <c r="BB53" s="135"/>
      <c r="BC53" s="730" t="s">
        <v>229</v>
      </c>
      <c r="BI53" s="135"/>
      <c r="BJ53" s="730" t="s">
        <v>1250</v>
      </c>
      <c r="BM53" s="829" t="s">
        <v>1251</v>
      </c>
      <c r="BN53" s="829"/>
      <c r="BO53" s="847"/>
      <c r="BP53" s="714"/>
      <c r="BQ53" s="714"/>
      <c r="BR53" s="714"/>
      <c r="BS53" s="714"/>
      <c r="BT53" s="714"/>
      <c r="BU53" s="714"/>
      <c r="BV53" s="714"/>
      <c r="BW53" s="714"/>
      <c r="BX53" s="714"/>
      <c r="BY53" s="714"/>
      <c r="BZ53" s="714"/>
      <c r="CA53" s="714"/>
      <c r="CB53" s="714"/>
      <c r="CC53" s="714"/>
      <c r="CD53" s="714"/>
      <c r="CE53" s="714"/>
      <c r="CF53" s="714"/>
      <c r="CG53" s="714"/>
      <c r="CH53" s="714"/>
      <c r="CI53" s="714"/>
      <c r="CJ53" s="714"/>
      <c r="CK53" s="714"/>
      <c r="CL53" s="714"/>
      <c r="CM53" s="714"/>
      <c r="CN53" s="714"/>
      <c r="CO53" s="714"/>
      <c r="CP53" s="714"/>
      <c r="CQ53" s="714"/>
      <c r="CR53" s="714"/>
      <c r="CS53" s="714"/>
      <c r="CT53" s="714"/>
      <c r="CU53" s="714"/>
      <c r="CV53" s="714"/>
      <c r="CW53" s="714"/>
      <c r="CX53" s="714"/>
      <c r="CY53" s="714"/>
      <c r="CZ53" s="714"/>
      <c r="DA53" s="714"/>
      <c r="DB53" s="714"/>
      <c r="DC53" s="714"/>
      <c r="DD53" s="714"/>
      <c r="DE53" s="714"/>
      <c r="DF53" s="714"/>
      <c r="DG53" s="714"/>
      <c r="DH53" s="714"/>
      <c r="DI53" s="714"/>
      <c r="DJ53" s="714"/>
      <c r="DK53" s="714"/>
      <c r="DL53" s="714"/>
      <c r="DM53" s="714"/>
      <c r="DN53" s="714"/>
      <c r="DO53" s="714"/>
      <c r="DP53" s="714"/>
      <c r="DQ53" s="714"/>
      <c r="DR53" s="714"/>
      <c r="DS53" s="714"/>
      <c r="DT53" s="714"/>
      <c r="DU53" s="714"/>
      <c r="DV53" s="714"/>
      <c r="DW53" s="714"/>
      <c r="DX53" s="714"/>
      <c r="DY53" s="714"/>
      <c r="DZ53" s="714"/>
      <c r="EA53" s="714"/>
      <c r="EB53" s="714"/>
      <c r="EC53" s="714"/>
      <c r="ED53" s="714"/>
      <c r="EE53" s="714"/>
      <c r="EF53" s="714"/>
      <c r="EG53" s="714"/>
      <c r="EH53" s="714"/>
      <c r="EI53" s="714"/>
      <c r="EJ53" s="714"/>
      <c r="EK53" s="714"/>
      <c r="EL53" s="714"/>
      <c r="EM53" s="714"/>
      <c r="EN53" s="714"/>
    </row>
    <row r="54" ht="21.0" customHeight="1">
      <c r="A54" s="813"/>
      <c r="B54" s="884" t="s">
        <v>1252</v>
      </c>
      <c r="C54" s="721" t="s">
        <v>1134</v>
      </c>
      <c r="I54" s="885"/>
      <c r="J54" s="886" t="s">
        <v>162</v>
      </c>
      <c r="AB54" s="885"/>
      <c r="AC54" s="886" t="s">
        <v>1139</v>
      </c>
      <c r="AJ54" s="885"/>
      <c r="AK54" s="886" t="s">
        <v>1136</v>
      </c>
      <c r="AY54" s="885"/>
      <c r="AZ54" s="886" t="s">
        <v>294</v>
      </c>
      <c r="BM54" s="829" t="s">
        <v>1251</v>
      </c>
      <c r="BN54" s="829"/>
      <c r="BO54" s="847"/>
      <c r="BP54" s="714"/>
      <c r="BQ54" s="714"/>
      <c r="BR54" s="714"/>
      <c r="BS54" s="714"/>
      <c r="BT54" s="714"/>
      <c r="BU54" s="714"/>
      <c r="BV54" s="714"/>
      <c r="BW54" s="714"/>
      <c r="BX54" s="714"/>
      <c r="BY54" s="714"/>
      <c r="BZ54" s="714"/>
      <c r="CA54" s="714"/>
      <c r="CB54" s="714"/>
      <c r="CC54" s="714"/>
      <c r="CD54" s="714"/>
      <c r="CE54" s="714"/>
      <c r="CF54" s="714"/>
      <c r="CG54" s="714"/>
      <c r="CH54" s="714"/>
      <c r="CI54" s="714"/>
      <c r="CJ54" s="714"/>
      <c r="CK54" s="714"/>
      <c r="CL54" s="714"/>
      <c r="CM54" s="714"/>
      <c r="CN54" s="714"/>
      <c r="CO54" s="714"/>
      <c r="CP54" s="714"/>
      <c r="CQ54" s="714"/>
      <c r="CR54" s="714"/>
      <c r="CS54" s="714"/>
      <c r="CT54" s="714"/>
      <c r="CU54" s="714"/>
      <c r="CV54" s="714"/>
      <c r="CW54" s="714"/>
      <c r="CX54" s="714"/>
      <c r="CY54" s="714"/>
      <c r="CZ54" s="714"/>
      <c r="DA54" s="714"/>
      <c r="DB54" s="714"/>
      <c r="DC54" s="714"/>
      <c r="DD54" s="714"/>
      <c r="DE54" s="714"/>
      <c r="DF54" s="714"/>
      <c r="DG54" s="714"/>
      <c r="DH54" s="714"/>
      <c r="DI54" s="714"/>
      <c r="DJ54" s="714"/>
      <c r="DK54" s="714"/>
      <c r="DL54" s="714"/>
      <c r="DM54" s="714"/>
      <c r="DN54" s="714"/>
      <c r="DO54" s="714"/>
      <c r="DP54" s="714"/>
      <c r="DQ54" s="714"/>
      <c r="DR54" s="714"/>
      <c r="DS54" s="714"/>
      <c r="DT54" s="714"/>
      <c r="DU54" s="714"/>
      <c r="DV54" s="714"/>
      <c r="DW54" s="714"/>
      <c r="DX54" s="714"/>
      <c r="DY54" s="714"/>
      <c r="DZ54" s="714"/>
      <c r="EA54" s="714"/>
      <c r="EB54" s="714"/>
      <c r="EC54" s="714"/>
      <c r="ED54" s="714"/>
      <c r="EE54" s="714"/>
      <c r="EF54" s="714"/>
      <c r="EG54" s="714"/>
      <c r="EH54" s="714"/>
      <c r="EI54" s="714"/>
      <c r="EJ54" s="714"/>
      <c r="EK54" s="714"/>
      <c r="EL54" s="714"/>
      <c r="EM54" s="714"/>
      <c r="EN54" s="714"/>
    </row>
    <row r="55" ht="21.0" customHeight="1">
      <c r="A55" s="813"/>
      <c r="B55" s="887" t="s">
        <v>1253</v>
      </c>
      <c r="C55" s="714"/>
      <c r="D55" s="714"/>
      <c r="E55" s="714"/>
      <c r="F55" s="714"/>
      <c r="G55" s="714"/>
      <c r="H55" s="714"/>
      <c r="I55" s="714"/>
      <c r="J55" s="714"/>
      <c r="K55" s="714"/>
      <c r="L55" s="714"/>
      <c r="M55" s="714"/>
      <c r="N55" s="714"/>
      <c r="O55" s="714"/>
      <c r="P55" s="714"/>
      <c r="Q55" s="714"/>
      <c r="R55" s="714"/>
      <c r="S55" s="714"/>
      <c r="T55" s="714"/>
      <c r="U55" s="714"/>
      <c r="V55" s="714"/>
      <c r="W55" s="714"/>
      <c r="X55" s="714"/>
      <c r="Y55" s="714"/>
      <c r="Z55" s="714"/>
      <c r="AA55" s="714"/>
      <c r="AB55" s="714"/>
      <c r="AC55" s="714"/>
      <c r="AD55" s="714"/>
      <c r="AE55" s="714"/>
      <c r="AF55" s="714"/>
      <c r="AG55" s="714"/>
      <c r="AH55" s="815"/>
      <c r="AI55" s="815"/>
      <c r="AJ55" s="815"/>
      <c r="AK55" s="815" t="s">
        <v>1254</v>
      </c>
      <c r="AL55" s="745" t="s">
        <v>1208</v>
      </c>
      <c r="BC55" s="888" t="s">
        <v>674</v>
      </c>
      <c r="BM55" s="829" t="s">
        <v>1251</v>
      </c>
      <c r="BN55" s="829"/>
      <c r="BO55" s="847"/>
      <c r="BP55" s="714"/>
      <c r="BQ55" s="714"/>
      <c r="BR55" s="714"/>
      <c r="BS55" s="714"/>
      <c r="BT55" s="714"/>
      <c r="BU55" s="714"/>
      <c r="BV55" s="714"/>
      <c r="BW55" s="714"/>
      <c r="BX55" s="714"/>
      <c r="BY55" s="714"/>
      <c r="BZ55" s="714"/>
      <c r="CA55" s="714"/>
      <c r="CB55" s="714"/>
      <c r="CC55" s="714"/>
      <c r="CD55" s="714"/>
      <c r="CE55" s="714"/>
      <c r="CF55" s="714"/>
      <c r="CG55" s="714"/>
      <c r="CH55" s="714"/>
      <c r="CI55" s="714"/>
      <c r="CJ55" s="714"/>
      <c r="CK55" s="714"/>
      <c r="CL55" s="714"/>
      <c r="CM55" s="714"/>
      <c r="CN55" s="714"/>
      <c r="CO55" s="714"/>
      <c r="CP55" s="714"/>
      <c r="CQ55" s="714"/>
      <c r="CR55" s="714"/>
      <c r="CS55" s="714"/>
      <c r="CT55" s="714"/>
      <c r="CU55" s="714"/>
      <c r="CV55" s="714"/>
      <c r="CW55" s="714"/>
      <c r="CX55" s="714"/>
      <c r="CY55" s="714"/>
      <c r="CZ55" s="714"/>
      <c r="DA55" s="714"/>
      <c r="DB55" s="714"/>
      <c r="DC55" s="714"/>
      <c r="DD55" s="714"/>
      <c r="DE55" s="714"/>
      <c r="DF55" s="714"/>
      <c r="DG55" s="714"/>
      <c r="DH55" s="714"/>
      <c r="DI55" s="714"/>
      <c r="DJ55" s="714"/>
      <c r="DK55" s="714"/>
      <c r="DL55" s="714"/>
      <c r="DM55" s="714"/>
      <c r="DN55" s="714"/>
      <c r="DO55" s="714"/>
      <c r="DP55" s="714"/>
      <c r="DQ55" s="714"/>
      <c r="DR55" s="714"/>
      <c r="DS55" s="714"/>
      <c r="DT55" s="714"/>
      <c r="DU55" s="714"/>
      <c r="DV55" s="714"/>
      <c r="DW55" s="714"/>
      <c r="DX55" s="714"/>
      <c r="DY55" s="714"/>
      <c r="DZ55" s="714"/>
      <c r="EA55" s="714"/>
      <c r="EB55" s="714"/>
      <c r="EC55" s="714"/>
      <c r="ED55" s="714"/>
      <c r="EE55" s="714"/>
      <c r="EF55" s="714"/>
      <c r="EG55" s="714"/>
      <c r="EH55" s="714"/>
      <c r="EI55" s="714"/>
      <c r="EJ55" s="714"/>
      <c r="EK55" s="714"/>
      <c r="EL55" s="714"/>
      <c r="EM55" s="714"/>
      <c r="EN55" s="714"/>
    </row>
    <row r="56" ht="21.0" customHeight="1">
      <c r="A56" s="813"/>
      <c r="B56" s="889" t="s">
        <v>1255</v>
      </c>
      <c r="C56" s="714"/>
      <c r="D56" s="714"/>
      <c r="E56" s="714"/>
      <c r="F56" s="714"/>
      <c r="G56" s="714"/>
      <c r="H56" s="714"/>
      <c r="I56" s="714"/>
      <c r="J56" s="714"/>
      <c r="K56" s="714"/>
      <c r="L56" s="714"/>
      <c r="M56" s="714"/>
      <c r="N56" s="714"/>
      <c r="O56" s="714"/>
      <c r="P56" s="714"/>
      <c r="Q56" s="714"/>
      <c r="R56" s="714"/>
      <c r="S56" s="714"/>
      <c r="T56" s="714"/>
      <c r="U56" s="714"/>
      <c r="V56" s="714"/>
      <c r="W56" s="714"/>
      <c r="X56" s="714"/>
      <c r="Y56" s="714"/>
      <c r="Z56" s="714"/>
      <c r="AA56" s="714"/>
      <c r="AB56" s="714"/>
      <c r="AC56" s="714"/>
      <c r="AD56" s="714"/>
      <c r="AE56" s="714"/>
      <c r="AF56" s="714"/>
      <c r="AG56" s="714"/>
      <c r="AH56" s="714"/>
      <c r="AI56" s="714"/>
      <c r="AJ56" s="714"/>
      <c r="AK56" s="714"/>
      <c r="AL56" s="714"/>
      <c r="AM56" s="714"/>
      <c r="AN56" s="714"/>
      <c r="AO56" s="757" t="s">
        <v>1163</v>
      </c>
      <c r="BM56" s="829" t="s">
        <v>1251</v>
      </c>
      <c r="BN56" s="829"/>
      <c r="BO56" s="847"/>
      <c r="BP56" s="714"/>
      <c r="BQ56" s="714"/>
      <c r="BR56" s="714"/>
      <c r="BS56" s="714"/>
      <c r="BT56" s="714"/>
      <c r="BU56" s="714"/>
      <c r="BV56" s="714"/>
      <c r="BW56" s="714"/>
      <c r="BX56" s="714"/>
      <c r="BY56" s="714"/>
      <c r="BZ56" s="714"/>
      <c r="CA56" s="714"/>
      <c r="CB56" s="714"/>
      <c r="CC56" s="714"/>
      <c r="CD56" s="714"/>
      <c r="CE56" s="714"/>
      <c r="CF56" s="714"/>
      <c r="CG56" s="714"/>
      <c r="CH56" s="714"/>
      <c r="CI56" s="714"/>
      <c r="CJ56" s="714"/>
      <c r="CK56" s="714"/>
      <c r="CL56" s="714"/>
      <c r="CM56" s="714"/>
      <c r="CN56" s="714"/>
      <c r="CO56" s="714"/>
      <c r="CP56" s="714"/>
      <c r="CQ56" s="714"/>
      <c r="CR56" s="714"/>
      <c r="CS56" s="714"/>
      <c r="CT56" s="714"/>
      <c r="CU56" s="714"/>
      <c r="CV56" s="714"/>
      <c r="CW56" s="714"/>
      <c r="CX56" s="714"/>
      <c r="CY56" s="714"/>
      <c r="CZ56" s="714"/>
      <c r="DA56" s="714"/>
      <c r="DB56" s="714"/>
      <c r="DC56" s="714"/>
      <c r="DD56" s="714"/>
      <c r="DE56" s="714"/>
      <c r="DF56" s="714"/>
      <c r="DG56" s="714"/>
      <c r="DH56" s="714"/>
      <c r="DI56" s="714"/>
      <c r="DJ56" s="714"/>
      <c r="DK56" s="714"/>
      <c r="DL56" s="714"/>
      <c r="DM56" s="714"/>
      <c r="DN56" s="714"/>
      <c r="DO56" s="714"/>
      <c r="DP56" s="714"/>
      <c r="DQ56" s="714"/>
      <c r="DR56" s="714"/>
      <c r="DS56" s="714"/>
      <c r="DT56" s="714"/>
      <c r="DU56" s="714"/>
      <c r="DV56" s="714"/>
      <c r="DW56" s="714"/>
      <c r="DX56" s="714"/>
      <c r="DY56" s="714"/>
      <c r="DZ56" s="714"/>
      <c r="EA56" s="714"/>
      <c r="EB56" s="714"/>
      <c r="EC56" s="714"/>
      <c r="ED56" s="714"/>
      <c r="EE56" s="714"/>
      <c r="EF56" s="714"/>
      <c r="EG56" s="714"/>
      <c r="EH56" s="714"/>
      <c r="EI56" s="714"/>
      <c r="EJ56" s="714"/>
      <c r="EK56" s="714"/>
      <c r="EL56" s="714"/>
      <c r="EM56" s="714"/>
      <c r="EN56" s="714"/>
    </row>
    <row r="57" ht="21.0" customHeight="1">
      <c r="A57" s="813"/>
      <c r="B57" s="890" t="s">
        <v>1256</v>
      </c>
      <c r="C57" s="714"/>
      <c r="D57" s="714"/>
      <c r="E57" s="714"/>
      <c r="F57" s="714"/>
      <c r="G57" s="714"/>
      <c r="H57" s="714"/>
      <c r="I57" s="714"/>
      <c r="J57" s="714"/>
      <c r="K57" s="714"/>
      <c r="L57" s="714"/>
      <c r="M57" s="714"/>
      <c r="N57" s="714"/>
      <c r="O57" s="714"/>
      <c r="P57" s="714"/>
      <c r="Q57" s="714"/>
      <c r="R57" s="714"/>
      <c r="S57" s="714"/>
      <c r="T57" s="714"/>
      <c r="U57" s="714"/>
      <c r="V57" s="714"/>
      <c r="W57" s="714"/>
      <c r="X57" s="714"/>
      <c r="Y57" s="714"/>
      <c r="Z57" s="714"/>
      <c r="AA57" s="714"/>
      <c r="AB57" s="714"/>
      <c r="AC57" s="714"/>
      <c r="AD57" s="714"/>
      <c r="AE57" s="714"/>
      <c r="AF57" s="714"/>
      <c r="AG57" s="714"/>
      <c r="AH57" s="714"/>
      <c r="AI57" s="714"/>
      <c r="AJ57" s="714"/>
      <c r="AK57" s="714"/>
      <c r="AL57" s="714"/>
      <c r="AM57" s="714"/>
      <c r="AN57" s="714"/>
      <c r="AO57" s="714"/>
      <c r="AP57" s="714"/>
      <c r="AQ57" s="714"/>
      <c r="AR57" s="714"/>
      <c r="AS57" s="714"/>
      <c r="AT57" s="714"/>
      <c r="AU57" s="714"/>
      <c r="AV57" s="714"/>
      <c r="AW57" s="714"/>
      <c r="AX57" s="815"/>
      <c r="AY57" s="815" t="s">
        <v>1257</v>
      </c>
      <c r="AZ57" s="791" t="s">
        <v>440</v>
      </c>
      <c r="BE57" s="885"/>
      <c r="BF57" s="891" t="s">
        <v>1258</v>
      </c>
      <c r="BG57" s="892" t="s">
        <v>1259</v>
      </c>
      <c r="BI57" s="885"/>
      <c r="BJ57" s="892" t="s">
        <v>1178</v>
      </c>
      <c r="BM57" s="829" t="s">
        <v>1251</v>
      </c>
      <c r="BN57" s="829"/>
      <c r="BO57" s="847"/>
      <c r="BP57" s="714"/>
      <c r="BQ57" s="714"/>
      <c r="BR57" s="714"/>
      <c r="BS57" s="714"/>
      <c r="BT57" s="714"/>
      <c r="BU57" s="714"/>
      <c r="BV57" s="714"/>
      <c r="BW57" s="714"/>
      <c r="BX57" s="714"/>
      <c r="BY57" s="714"/>
      <c r="BZ57" s="714"/>
      <c r="CA57" s="714"/>
      <c r="CB57" s="714"/>
      <c r="CC57" s="714"/>
      <c r="CD57" s="714"/>
      <c r="CE57" s="714"/>
      <c r="CF57" s="714"/>
      <c r="CG57" s="714"/>
      <c r="CH57" s="714"/>
      <c r="CI57" s="714"/>
      <c r="CJ57" s="714"/>
      <c r="CK57" s="714"/>
      <c r="CL57" s="714"/>
      <c r="CM57" s="714"/>
      <c r="CN57" s="714"/>
      <c r="CO57" s="714"/>
      <c r="CP57" s="714"/>
      <c r="CQ57" s="714"/>
      <c r="CR57" s="714"/>
      <c r="CS57" s="714"/>
      <c r="CT57" s="714"/>
      <c r="CU57" s="714"/>
      <c r="CV57" s="714"/>
      <c r="CW57" s="714"/>
      <c r="CX57" s="714"/>
      <c r="CY57" s="714"/>
      <c r="CZ57" s="714"/>
      <c r="DA57" s="714"/>
      <c r="DB57" s="714"/>
      <c r="DC57" s="714"/>
      <c r="DD57" s="714"/>
      <c r="DE57" s="714"/>
      <c r="DF57" s="714"/>
      <c r="DG57" s="714"/>
      <c r="DH57" s="714"/>
      <c r="DI57" s="714"/>
      <c r="DJ57" s="714"/>
      <c r="DK57" s="714"/>
      <c r="DL57" s="714"/>
      <c r="DM57" s="714"/>
      <c r="DN57" s="714"/>
      <c r="DO57" s="714"/>
      <c r="DP57" s="714"/>
      <c r="DQ57" s="714"/>
      <c r="DR57" s="714"/>
      <c r="DS57" s="714"/>
      <c r="DT57" s="714"/>
      <c r="DU57" s="714"/>
      <c r="DV57" s="714"/>
      <c r="DW57" s="714"/>
      <c r="DX57" s="714"/>
      <c r="DY57" s="714"/>
      <c r="DZ57" s="714"/>
      <c r="EA57" s="714"/>
      <c r="EB57" s="714"/>
      <c r="EC57" s="714"/>
      <c r="ED57" s="714"/>
      <c r="EE57" s="714"/>
      <c r="EF57" s="714"/>
      <c r="EG57" s="714"/>
      <c r="EH57" s="714"/>
      <c r="EI57" s="714"/>
      <c r="EJ57" s="714"/>
      <c r="EK57" s="714"/>
      <c r="EL57" s="714"/>
      <c r="EM57" s="714"/>
      <c r="EN57" s="714"/>
    </row>
    <row r="58" ht="21.0" customHeight="1">
      <c r="A58" s="813"/>
      <c r="B58" s="893" t="s">
        <v>1260</v>
      </c>
      <c r="C58" s="714"/>
      <c r="D58" s="714"/>
      <c r="E58" s="714"/>
      <c r="F58" s="714"/>
      <c r="G58" s="714"/>
      <c r="H58" s="714"/>
      <c r="I58" s="714"/>
      <c r="J58" s="714"/>
      <c r="K58" s="714"/>
      <c r="L58" s="714"/>
      <c r="M58" s="714"/>
      <c r="N58" s="714"/>
      <c r="O58" s="714"/>
      <c r="P58" s="714"/>
      <c r="Q58" s="714"/>
      <c r="R58" s="714"/>
      <c r="S58" s="714"/>
      <c r="T58" s="714"/>
      <c r="U58" s="714"/>
      <c r="V58" s="714"/>
      <c r="W58" s="714"/>
      <c r="X58" s="714"/>
      <c r="Y58" s="714"/>
      <c r="Z58" s="714"/>
      <c r="AA58" s="714"/>
      <c r="AB58" s="714"/>
      <c r="AC58" s="714"/>
      <c r="AD58" s="714"/>
      <c r="AE58" s="714"/>
      <c r="AF58" s="714"/>
      <c r="AG58" s="714"/>
      <c r="AH58" s="714"/>
      <c r="AI58" s="714"/>
      <c r="AJ58" s="714"/>
      <c r="AK58" s="714"/>
      <c r="AL58" s="714"/>
      <c r="AM58" s="714"/>
      <c r="AN58" s="714"/>
      <c r="AO58" s="714"/>
      <c r="AP58" s="714"/>
      <c r="AQ58" s="714"/>
      <c r="AR58" s="714"/>
      <c r="AS58" s="714"/>
      <c r="AT58" s="714"/>
      <c r="AU58" s="714"/>
      <c r="AV58" s="714"/>
      <c r="AW58" s="714"/>
      <c r="AX58" s="714"/>
      <c r="AY58" s="714"/>
      <c r="AZ58" s="714"/>
      <c r="BA58" s="714"/>
      <c r="BB58" s="714"/>
      <c r="BC58" s="780" t="s">
        <v>102</v>
      </c>
      <c r="BF58" s="885"/>
      <c r="BG58" s="894" t="s">
        <v>1155</v>
      </c>
      <c r="BM58" s="829" t="s">
        <v>1251</v>
      </c>
      <c r="BN58" s="829"/>
      <c r="BO58" s="847"/>
      <c r="BP58" s="714"/>
      <c r="BQ58" s="714"/>
      <c r="BR58" s="714"/>
      <c r="BS58" s="714"/>
      <c r="BT58" s="714"/>
      <c r="BU58" s="714"/>
      <c r="BV58" s="714"/>
      <c r="BW58" s="714"/>
      <c r="BX58" s="714"/>
      <c r="BY58" s="714"/>
      <c r="BZ58" s="714"/>
      <c r="CA58" s="714"/>
      <c r="CB58" s="714"/>
      <c r="CC58" s="714"/>
      <c r="CD58" s="714"/>
      <c r="CE58" s="714"/>
      <c r="CF58" s="714"/>
      <c r="CG58" s="714"/>
      <c r="CH58" s="714"/>
      <c r="CI58" s="714"/>
      <c r="CJ58" s="714"/>
      <c r="CK58" s="714"/>
      <c r="CL58" s="714"/>
      <c r="CM58" s="714"/>
      <c r="CN58" s="714"/>
      <c r="CO58" s="714"/>
      <c r="CP58" s="714"/>
      <c r="CQ58" s="714"/>
      <c r="CR58" s="714"/>
      <c r="CS58" s="714"/>
      <c r="CT58" s="714"/>
      <c r="CU58" s="714"/>
      <c r="CV58" s="714"/>
      <c r="CW58" s="714"/>
      <c r="CX58" s="714"/>
      <c r="CY58" s="714"/>
      <c r="CZ58" s="714"/>
      <c r="DA58" s="714"/>
      <c r="DB58" s="714"/>
      <c r="DC58" s="714"/>
      <c r="DD58" s="714"/>
      <c r="DE58" s="714"/>
      <c r="DF58" s="714"/>
      <c r="DG58" s="714"/>
      <c r="DH58" s="714"/>
      <c r="DI58" s="714"/>
      <c r="DJ58" s="714"/>
      <c r="DK58" s="714"/>
      <c r="DL58" s="714"/>
      <c r="DM58" s="714"/>
      <c r="DN58" s="714"/>
      <c r="DO58" s="714"/>
      <c r="DP58" s="714"/>
      <c r="DQ58" s="714"/>
      <c r="DR58" s="714"/>
      <c r="DS58" s="714"/>
      <c r="DT58" s="714"/>
      <c r="DU58" s="714"/>
      <c r="DV58" s="714"/>
      <c r="DW58" s="714"/>
      <c r="DX58" s="714"/>
      <c r="DY58" s="714"/>
      <c r="DZ58" s="714"/>
      <c r="EA58" s="714"/>
      <c r="EB58" s="714"/>
      <c r="EC58" s="714"/>
      <c r="ED58" s="714"/>
      <c r="EE58" s="714"/>
      <c r="EF58" s="714"/>
      <c r="EG58" s="714"/>
      <c r="EH58" s="714"/>
      <c r="EI58" s="714"/>
      <c r="EJ58" s="714"/>
      <c r="EK58" s="714"/>
      <c r="EL58" s="714"/>
      <c r="EM58" s="714"/>
      <c r="EN58" s="714"/>
    </row>
    <row r="59" ht="21.0" customHeight="1">
      <c r="A59" s="813"/>
      <c r="B59" s="895" t="s">
        <v>1261</v>
      </c>
      <c r="C59" s="714"/>
      <c r="D59" s="714"/>
      <c r="E59" s="714"/>
      <c r="F59" s="714"/>
      <c r="G59" s="714"/>
      <c r="H59" s="714"/>
      <c r="I59" s="714"/>
      <c r="J59" s="714"/>
      <c r="K59" s="714"/>
      <c r="L59" s="714"/>
      <c r="M59" s="714"/>
      <c r="N59" s="714"/>
      <c r="O59" s="714"/>
      <c r="P59" s="714"/>
      <c r="Q59" s="714"/>
      <c r="R59" s="714"/>
      <c r="S59" s="714"/>
      <c r="T59" s="714"/>
      <c r="U59" s="714"/>
      <c r="V59" s="714"/>
      <c r="W59" s="714"/>
      <c r="X59" s="714"/>
      <c r="Y59" s="714"/>
      <c r="Z59" s="714"/>
      <c r="AA59" s="714"/>
      <c r="AB59" s="714"/>
      <c r="AC59" s="714"/>
      <c r="AD59" s="714"/>
      <c r="AE59" s="714"/>
      <c r="AF59" s="714"/>
      <c r="AG59" s="714"/>
      <c r="AH59" s="714"/>
      <c r="AI59" s="714"/>
      <c r="AJ59" s="714"/>
      <c r="AK59" s="714"/>
      <c r="AL59" s="714"/>
      <c r="AM59" s="714"/>
      <c r="AN59" s="714"/>
      <c r="AO59" s="714"/>
      <c r="AP59" s="714"/>
      <c r="AQ59" s="714"/>
      <c r="AR59" s="714"/>
      <c r="AS59" s="714"/>
      <c r="AT59" s="714"/>
      <c r="AU59" s="714"/>
      <c r="AV59" s="714"/>
      <c r="AW59" s="714"/>
      <c r="AX59" s="714"/>
      <c r="AY59" s="714"/>
      <c r="AZ59" s="714"/>
      <c r="BA59" s="714"/>
      <c r="BB59" s="714"/>
      <c r="BC59" s="896" t="s">
        <v>195</v>
      </c>
      <c r="BM59" s="829" t="s">
        <v>1251</v>
      </c>
      <c r="BN59" s="829"/>
      <c r="BO59" s="847"/>
      <c r="BP59" s="714"/>
      <c r="BQ59" s="714"/>
      <c r="BR59" s="714"/>
      <c r="BS59" s="714"/>
      <c r="BT59" s="714"/>
      <c r="BU59" s="714"/>
      <c r="BV59" s="714"/>
      <c r="BW59" s="714"/>
      <c r="BX59" s="714"/>
      <c r="BY59" s="714"/>
      <c r="BZ59" s="714"/>
      <c r="CA59" s="714"/>
      <c r="CB59" s="714"/>
      <c r="CC59" s="714"/>
      <c r="CD59" s="714"/>
      <c r="CE59" s="714"/>
      <c r="CF59" s="714"/>
      <c r="CG59" s="714"/>
      <c r="CH59" s="714"/>
      <c r="CI59" s="714"/>
      <c r="CJ59" s="714"/>
      <c r="CK59" s="714"/>
      <c r="CL59" s="714"/>
      <c r="CM59" s="714"/>
      <c r="CN59" s="714"/>
      <c r="CO59" s="714"/>
      <c r="CP59" s="714"/>
      <c r="CQ59" s="714"/>
      <c r="CR59" s="714"/>
      <c r="CS59" s="714"/>
      <c r="CT59" s="714"/>
      <c r="CU59" s="714"/>
      <c r="CV59" s="714"/>
      <c r="CW59" s="714"/>
      <c r="CX59" s="714"/>
      <c r="CY59" s="714"/>
      <c r="CZ59" s="714"/>
      <c r="DA59" s="714"/>
      <c r="DB59" s="714"/>
      <c r="DC59" s="714"/>
      <c r="DD59" s="714"/>
      <c r="DE59" s="714"/>
      <c r="DF59" s="714"/>
      <c r="DG59" s="714"/>
      <c r="DH59" s="714"/>
      <c r="DI59" s="714"/>
      <c r="DJ59" s="714"/>
      <c r="DK59" s="714"/>
      <c r="DL59" s="714"/>
      <c r="DM59" s="714"/>
      <c r="DN59" s="714"/>
      <c r="DO59" s="714"/>
      <c r="DP59" s="714"/>
      <c r="DQ59" s="714"/>
      <c r="DR59" s="714"/>
      <c r="DS59" s="714"/>
      <c r="DT59" s="714"/>
      <c r="DU59" s="714"/>
      <c r="DV59" s="714"/>
      <c r="DW59" s="714"/>
      <c r="DX59" s="714"/>
      <c r="DY59" s="714"/>
      <c r="DZ59" s="714"/>
      <c r="EA59" s="714"/>
      <c r="EB59" s="714"/>
      <c r="EC59" s="714"/>
      <c r="ED59" s="714"/>
      <c r="EE59" s="714"/>
      <c r="EF59" s="714"/>
      <c r="EG59" s="714"/>
      <c r="EH59" s="714"/>
      <c r="EI59" s="714"/>
      <c r="EJ59" s="714"/>
      <c r="EK59" s="714"/>
      <c r="EL59" s="714"/>
      <c r="EM59" s="714"/>
      <c r="EN59" s="714"/>
    </row>
    <row r="60" ht="21.0" customHeight="1">
      <c r="A60" s="813"/>
      <c r="B60" s="897" t="s">
        <v>1262</v>
      </c>
      <c r="C60" s="898"/>
      <c r="D60" s="898"/>
      <c r="E60" s="898"/>
      <c r="F60" s="898"/>
      <c r="G60" s="898"/>
      <c r="H60" s="898"/>
      <c r="I60" s="898"/>
      <c r="J60" s="898"/>
      <c r="K60" s="898"/>
      <c r="L60" s="898"/>
      <c r="M60" s="898"/>
      <c r="N60" s="898"/>
      <c r="O60" s="898"/>
      <c r="P60" s="898"/>
      <c r="Q60" s="898"/>
      <c r="R60" s="898"/>
      <c r="S60" s="898"/>
      <c r="T60" s="898"/>
      <c r="U60" s="898"/>
      <c r="V60" s="898"/>
      <c r="W60" s="898"/>
      <c r="X60" s="898"/>
      <c r="Y60" s="898"/>
      <c r="Z60" s="898"/>
      <c r="AA60" s="898"/>
      <c r="AB60" s="898"/>
      <c r="AC60" s="898"/>
      <c r="AD60" s="898"/>
      <c r="AE60" s="898"/>
      <c r="AF60" s="898"/>
      <c r="AG60" s="898"/>
      <c r="AH60" s="898"/>
      <c r="AI60" s="898"/>
      <c r="AJ60" s="898"/>
      <c r="AK60" s="898"/>
      <c r="AL60" s="898"/>
      <c r="AM60" s="898"/>
      <c r="AN60" s="898"/>
      <c r="AO60" s="898"/>
      <c r="AP60" s="898"/>
      <c r="AQ60" s="898"/>
      <c r="AR60" s="898"/>
      <c r="AS60" s="898"/>
      <c r="AT60" s="898"/>
      <c r="AU60" s="898"/>
      <c r="AV60" s="898"/>
      <c r="AW60" s="898"/>
      <c r="AX60" s="898"/>
      <c r="AY60" s="898"/>
      <c r="AZ60" s="898"/>
      <c r="BA60" s="898"/>
      <c r="BB60" s="898"/>
      <c r="BC60" s="899"/>
      <c r="BD60" s="899"/>
      <c r="BE60" s="899"/>
      <c r="BF60" s="899"/>
      <c r="BG60" s="899"/>
      <c r="BH60" s="899"/>
      <c r="BI60" s="899"/>
      <c r="BJ60" s="899"/>
      <c r="BK60" s="899"/>
      <c r="BL60" s="899"/>
      <c r="BM60" s="900" t="s">
        <v>1263</v>
      </c>
      <c r="BN60" s="901"/>
      <c r="BO60" s="902" t="s">
        <v>1264</v>
      </c>
      <c r="BP60" s="902"/>
      <c r="BQ60" s="902"/>
      <c r="BR60" s="902"/>
      <c r="BS60" s="898"/>
      <c r="BT60" s="898"/>
      <c r="BU60" s="898"/>
      <c r="BV60" s="898"/>
      <c r="BW60" s="898"/>
      <c r="BX60" s="898"/>
      <c r="BY60" s="898"/>
      <c r="BZ60" s="898"/>
      <c r="CA60" s="898"/>
      <c r="CB60" s="898"/>
      <c r="CC60" s="898"/>
      <c r="CD60" s="898"/>
      <c r="CE60" s="898"/>
      <c r="CF60" s="898"/>
      <c r="CG60" s="898"/>
      <c r="CH60" s="898"/>
      <c r="CI60" s="898"/>
      <c r="CJ60" s="898"/>
      <c r="CK60" s="898"/>
      <c r="CL60" s="898"/>
      <c r="CM60" s="898"/>
      <c r="CN60" s="898"/>
      <c r="CO60" s="898"/>
      <c r="CP60" s="898"/>
      <c r="CQ60" s="898"/>
      <c r="CR60" s="898"/>
      <c r="CS60" s="898"/>
      <c r="CT60" s="898"/>
      <c r="CU60" s="898"/>
      <c r="CV60" s="898"/>
      <c r="CW60" s="898"/>
      <c r="CX60" s="898"/>
      <c r="CY60" s="898"/>
      <c r="CZ60" s="898"/>
      <c r="DA60" s="898"/>
      <c r="DB60" s="898"/>
      <c r="DC60" s="898"/>
      <c r="DD60" s="898"/>
      <c r="DE60" s="898"/>
      <c r="DF60" s="898"/>
      <c r="DG60" s="898"/>
      <c r="DH60" s="898"/>
      <c r="DI60" s="898"/>
      <c r="DJ60" s="898"/>
      <c r="DK60" s="898"/>
      <c r="DL60" s="898"/>
      <c r="DM60" s="898"/>
      <c r="DN60" s="898"/>
      <c r="DO60" s="898"/>
      <c r="DP60" s="898"/>
      <c r="DQ60" s="898"/>
      <c r="DR60" s="898"/>
      <c r="DS60" s="898"/>
      <c r="DT60" s="898"/>
      <c r="DU60" s="898"/>
      <c r="DV60" s="898"/>
      <c r="DW60" s="898"/>
      <c r="DX60" s="898"/>
      <c r="DY60" s="898"/>
      <c r="DZ60" s="898"/>
      <c r="EA60" s="898"/>
      <c r="EB60" s="898"/>
      <c r="EC60" s="898"/>
      <c r="ED60" s="898"/>
      <c r="EE60" s="898"/>
      <c r="EF60" s="898"/>
      <c r="EG60" s="898"/>
      <c r="EH60" s="898"/>
      <c r="EI60" s="898"/>
      <c r="EJ60" s="898"/>
      <c r="EK60" s="898"/>
      <c r="EL60" s="898"/>
      <c r="EM60" s="898"/>
      <c r="EN60" s="898"/>
    </row>
    <row r="61" ht="21.0" customHeight="1">
      <c r="A61" s="813"/>
      <c r="B61" s="903" t="s">
        <v>1265</v>
      </c>
      <c r="C61" s="714"/>
      <c r="D61" s="714"/>
      <c r="E61" s="714"/>
      <c r="F61" s="714"/>
      <c r="G61" s="714"/>
      <c r="H61" s="714"/>
      <c r="I61" s="714"/>
      <c r="J61" s="714"/>
      <c r="K61" s="714"/>
      <c r="L61" s="714"/>
      <c r="M61" s="714"/>
      <c r="N61" s="714"/>
      <c r="O61" s="714"/>
      <c r="P61" s="714"/>
      <c r="Q61" s="714"/>
      <c r="R61" s="714"/>
      <c r="S61" s="714"/>
      <c r="T61" s="714"/>
      <c r="U61" s="714"/>
      <c r="V61" s="714"/>
      <c r="W61" s="714"/>
      <c r="X61" s="714"/>
      <c r="Y61" s="714"/>
      <c r="Z61" s="714"/>
      <c r="AA61" s="714"/>
      <c r="AB61" s="714"/>
      <c r="AC61" s="714"/>
      <c r="AD61" s="714"/>
      <c r="AE61" s="714"/>
      <c r="AF61" s="714"/>
      <c r="AG61" s="714"/>
      <c r="AH61" s="714"/>
      <c r="AI61" s="714"/>
      <c r="AJ61" s="714"/>
      <c r="AK61" s="714"/>
      <c r="AL61" s="714"/>
      <c r="AM61" s="714"/>
      <c r="AN61" s="714"/>
      <c r="AO61" s="714"/>
      <c r="AP61" s="714"/>
      <c r="AQ61" s="714"/>
      <c r="AR61" s="714"/>
      <c r="AS61" s="714"/>
      <c r="AT61" s="714"/>
      <c r="AU61" s="714"/>
      <c r="AV61" s="714"/>
      <c r="AW61" s="714"/>
      <c r="AX61" s="714"/>
      <c r="AY61" s="714"/>
      <c r="AZ61" s="714"/>
      <c r="BA61" s="714"/>
      <c r="BB61" s="714"/>
      <c r="BC61" s="847"/>
      <c r="BD61" s="847"/>
      <c r="BE61" s="847"/>
      <c r="BF61" s="847"/>
      <c r="BG61" s="847"/>
      <c r="BH61" s="847"/>
      <c r="BI61" s="847"/>
      <c r="BJ61" s="847"/>
      <c r="BK61" s="847"/>
      <c r="BL61" s="847"/>
      <c r="BM61" s="904" t="s">
        <v>1266</v>
      </c>
      <c r="BO61" s="829" t="s">
        <v>1267</v>
      </c>
      <c r="BP61" s="714"/>
      <c r="BQ61" s="714"/>
      <c r="BR61" s="714"/>
      <c r="BS61" s="714"/>
      <c r="BT61" s="714"/>
      <c r="BU61" s="714"/>
      <c r="BV61" s="714"/>
      <c r="BW61" s="714"/>
      <c r="BX61" s="714"/>
      <c r="BY61" s="714"/>
      <c r="BZ61" s="714"/>
      <c r="CA61" s="714"/>
      <c r="CB61" s="714"/>
      <c r="CC61" s="714"/>
      <c r="CD61" s="714"/>
      <c r="CE61" s="714"/>
      <c r="CF61" s="714"/>
      <c r="CG61" s="714"/>
      <c r="CH61" s="714"/>
      <c r="CI61" s="714"/>
      <c r="CJ61" s="714"/>
      <c r="CK61" s="714"/>
      <c r="CL61" s="714"/>
      <c r="CM61" s="714"/>
      <c r="CN61" s="714"/>
      <c r="CO61" s="714"/>
      <c r="CP61" s="714"/>
      <c r="CQ61" s="714"/>
      <c r="CR61" s="714"/>
      <c r="CS61" s="714"/>
      <c r="CT61" s="714"/>
      <c r="CU61" s="714"/>
      <c r="CV61" s="714"/>
      <c r="CW61" s="714"/>
      <c r="CX61" s="714"/>
      <c r="CY61" s="714"/>
      <c r="CZ61" s="714"/>
      <c r="DA61" s="714"/>
      <c r="DB61" s="714"/>
      <c r="DC61" s="714"/>
      <c r="DD61" s="714"/>
      <c r="DE61" s="714"/>
      <c r="DF61" s="714"/>
      <c r="DG61" s="714"/>
      <c r="DH61" s="714"/>
      <c r="DI61" s="714"/>
      <c r="DJ61" s="714"/>
      <c r="DK61" s="714"/>
      <c r="DL61" s="714"/>
      <c r="DM61" s="714"/>
      <c r="DN61" s="714"/>
      <c r="DO61" s="714"/>
      <c r="DP61" s="714"/>
      <c r="DQ61" s="714"/>
      <c r="DR61" s="714"/>
      <c r="DS61" s="714"/>
      <c r="DT61" s="714"/>
      <c r="DU61" s="714"/>
      <c r="DV61" s="714"/>
      <c r="DW61" s="714"/>
      <c r="DX61" s="714"/>
      <c r="DY61" s="714"/>
      <c r="DZ61" s="714"/>
      <c r="EA61" s="714"/>
      <c r="EB61" s="714"/>
      <c r="EC61" s="714"/>
      <c r="ED61" s="714"/>
      <c r="EE61" s="714"/>
      <c r="EF61" s="714"/>
      <c r="EG61" s="714"/>
      <c r="EH61" s="714"/>
      <c r="EI61" s="714"/>
      <c r="EJ61" s="714"/>
      <c r="EK61" s="714"/>
      <c r="EL61" s="714"/>
      <c r="EM61" s="714"/>
      <c r="EN61" s="714"/>
    </row>
    <row r="62" ht="21.0" customHeight="1">
      <c r="A62" s="813"/>
      <c r="B62" s="905" t="s">
        <v>1268</v>
      </c>
      <c r="C62" s="714"/>
      <c r="D62" s="714"/>
      <c r="E62" s="714"/>
      <c r="F62" s="714"/>
      <c r="G62" s="714"/>
      <c r="H62" s="714" t="s">
        <v>1269</v>
      </c>
      <c r="I62" s="714"/>
      <c r="J62" s="714"/>
      <c r="K62" s="714"/>
      <c r="L62" s="714"/>
      <c r="M62" s="714"/>
      <c r="N62" s="714"/>
      <c r="O62" s="714"/>
      <c r="P62" s="714"/>
      <c r="Q62" s="714"/>
      <c r="R62" s="714"/>
      <c r="S62" s="714"/>
      <c r="T62" s="714"/>
      <c r="U62" s="714"/>
      <c r="V62" s="714"/>
      <c r="W62" s="714"/>
      <c r="X62" s="714"/>
      <c r="Y62" s="714"/>
      <c r="Z62" s="714"/>
      <c r="AA62" s="714"/>
      <c r="AB62" s="714"/>
      <c r="AC62" s="714"/>
      <c r="AD62" s="714"/>
      <c r="AE62" s="714"/>
      <c r="AF62" s="714"/>
      <c r="AG62" s="714"/>
      <c r="AH62" s="714"/>
      <c r="AI62" s="714"/>
      <c r="AJ62" s="714"/>
      <c r="AK62" s="714"/>
      <c r="AL62" s="714"/>
      <c r="AM62" s="714"/>
      <c r="AN62" s="714"/>
      <c r="AO62" s="714"/>
      <c r="AP62" s="714"/>
      <c r="AQ62" s="714"/>
      <c r="AR62" s="714"/>
      <c r="AS62" s="714"/>
      <c r="AT62" s="714"/>
      <c r="AU62" s="714"/>
      <c r="AV62" s="714"/>
      <c r="AW62" s="714"/>
      <c r="AX62" s="714"/>
      <c r="AY62" s="714"/>
      <c r="AZ62" s="714"/>
      <c r="BA62" s="714"/>
      <c r="BB62" s="714"/>
      <c r="BC62" s="847"/>
      <c r="BD62" s="847"/>
      <c r="BE62" s="847"/>
      <c r="BF62" s="847"/>
      <c r="BG62" s="847"/>
      <c r="BH62" s="847"/>
      <c r="BI62" s="847"/>
      <c r="BJ62" s="847"/>
      <c r="BK62" s="847"/>
      <c r="BL62" s="847"/>
      <c r="BM62" s="906" t="s">
        <v>1112</v>
      </c>
      <c r="BO62" s="829" t="s">
        <v>1232</v>
      </c>
      <c r="BP62" s="714"/>
      <c r="BQ62" s="714"/>
      <c r="BR62" s="714"/>
      <c r="BS62" s="714"/>
      <c r="BT62" s="714"/>
      <c r="BU62" s="714"/>
      <c r="BV62" s="714"/>
      <c r="BW62" s="714"/>
      <c r="BX62" s="714"/>
      <c r="BY62" s="714"/>
      <c r="BZ62" s="714"/>
      <c r="CA62" s="714"/>
      <c r="CB62" s="714"/>
      <c r="CC62" s="714"/>
      <c r="CD62" s="714"/>
      <c r="CE62" s="714"/>
      <c r="CF62" s="714"/>
      <c r="CG62" s="714"/>
      <c r="CH62" s="714"/>
      <c r="CI62" s="714"/>
      <c r="CJ62" s="714"/>
      <c r="CK62" s="714"/>
      <c r="CL62" s="714"/>
      <c r="CM62" s="714"/>
      <c r="CN62" s="714"/>
      <c r="CO62" s="714"/>
      <c r="CP62" s="714"/>
      <c r="CQ62" s="714"/>
      <c r="CR62" s="714"/>
      <c r="CS62" s="714"/>
      <c r="CT62" s="714"/>
      <c r="CU62" s="714"/>
      <c r="CV62" s="714"/>
      <c r="CW62" s="714"/>
      <c r="CX62" s="714"/>
      <c r="CY62" s="714"/>
      <c r="CZ62" s="714"/>
      <c r="DA62" s="714"/>
      <c r="DB62" s="714"/>
      <c r="DC62" s="714"/>
      <c r="DD62" s="714"/>
      <c r="DE62" s="714"/>
      <c r="DF62" s="714"/>
      <c r="DG62" s="714"/>
      <c r="DH62" s="714"/>
      <c r="DI62" s="714"/>
      <c r="DJ62" s="714"/>
      <c r="DK62" s="714"/>
      <c r="DL62" s="714"/>
      <c r="DM62" s="714"/>
      <c r="DN62" s="714"/>
      <c r="DO62" s="714"/>
      <c r="DP62" s="714"/>
      <c r="DQ62" s="714"/>
      <c r="DR62" s="714"/>
      <c r="DS62" s="714"/>
      <c r="DT62" s="714"/>
      <c r="DU62" s="714"/>
      <c r="DV62" s="714"/>
      <c r="DW62" s="714"/>
      <c r="DX62" s="714"/>
      <c r="DY62" s="714"/>
      <c r="DZ62" s="714"/>
      <c r="EA62" s="714"/>
      <c r="EB62" s="714"/>
      <c r="EC62" s="714"/>
      <c r="ED62" s="714"/>
      <c r="EE62" s="714"/>
      <c r="EF62" s="714"/>
      <c r="EG62" s="714"/>
      <c r="EH62" s="714"/>
      <c r="EI62" s="714"/>
      <c r="EJ62" s="714"/>
      <c r="EK62" s="714"/>
      <c r="EL62" s="714"/>
      <c r="EM62" s="714"/>
      <c r="EN62" s="714"/>
    </row>
    <row r="63" ht="21.0" customHeight="1">
      <c r="A63" s="813"/>
      <c r="B63" s="907" t="s">
        <v>1270</v>
      </c>
      <c r="C63" s="714"/>
      <c r="D63" s="714"/>
      <c r="E63" s="714"/>
      <c r="F63" s="714"/>
      <c r="G63" s="714"/>
      <c r="H63" s="714"/>
      <c r="I63" s="714"/>
      <c r="J63" s="714"/>
      <c r="K63" s="714"/>
      <c r="L63" s="714"/>
      <c r="M63" s="714"/>
      <c r="N63" s="714"/>
      <c r="O63" s="714"/>
      <c r="P63" s="714"/>
      <c r="Q63" s="714"/>
      <c r="R63" s="714"/>
      <c r="S63" s="714"/>
      <c r="T63" s="714"/>
      <c r="U63" s="714"/>
      <c r="V63" s="714"/>
      <c r="W63" s="714"/>
      <c r="X63" s="714"/>
      <c r="Y63" s="714"/>
      <c r="Z63" s="714"/>
      <c r="AA63" s="714"/>
      <c r="AB63" s="714"/>
      <c r="AC63" s="714"/>
      <c r="AD63" s="714"/>
      <c r="AE63" s="714"/>
      <c r="AF63" s="714"/>
      <c r="AG63" s="714"/>
      <c r="AH63" s="714"/>
      <c r="AI63" s="714"/>
      <c r="AJ63" s="714"/>
      <c r="AK63" s="714"/>
      <c r="AL63" s="714"/>
      <c r="AM63" s="714"/>
      <c r="AN63" s="714"/>
      <c r="AO63" s="714"/>
      <c r="AP63" s="714"/>
      <c r="AQ63" s="714"/>
      <c r="AR63" s="714"/>
      <c r="AS63" s="714"/>
      <c r="AT63" s="714"/>
      <c r="AU63" s="714"/>
      <c r="AV63" s="714"/>
      <c r="AW63" s="714"/>
      <c r="AX63" s="714"/>
      <c r="AY63" s="714"/>
      <c r="AZ63" s="714"/>
      <c r="BA63" s="714"/>
      <c r="BB63" s="714"/>
      <c r="BC63" s="847"/>
      <c r="BD63" s="847"/>
      <c r="BE63" s="847"/>
      <c r="BF63" s="847"/>
      <c r="BG63" s="847"/>
      <c r="BH63" s="847"/>
      <c r="BI63" s="847"/>
      <c r="BJ63" s="847"/>
      <c r="BK63" s="847"/>
      <c r="BL63" s="847"/>
      <c r="BM63" s="908" t="s">
        <v>1271</v>
      </c>
      <c r="BO63" s="829" t="s">
        <v>1232</v>
      </c>
      <c r="BP63" s="714"/>
      <c r="BQ63" s="714"/>
      <c r="BR63" s="714"/>
      <c r="BS63" s="714"/>
      <c r="BT63" s="714"/>
      <c r="BU63" s="714"/>
      <c r="BV63" s="714"/>
      <c r="BW63" s="714"/>
      <c r="BX63" s="714"/>
      <c r="BY63" s="714"/>
      <c r="BZ63" s="714"/>
      <c r="CA63" s="714"/>
      <c r="CB63" s="714"/>
      <c r="CC63" s="714"/>
      <c r="CD63" s="714"/>
      <c r="CE63" s="714"/>
      <c r="CF63" s="714"/>
      <c r="CG63" s="714"/>
      <c r="CH63" s="714"/>
      <c r="CI63" s="714"/>
      <c r="CJ63" s="714"/>
      <c r="CK63" s="714"/>
      <c r="CL63" s="714"/>
      <c r="CM63" s="714"/>
      <c r="CN63" s="714"/>
      <c r="CO63" s="714"/>
      <c r="CP63" s="714"/>
      <c r="CQ63" s="714"/>
      <c r="CR63" s="714"/>
      <c r="CS63" s="714"/>
      <c r="CT63" s="714"/>
      <c r="CU63" s="714"/>
      <c r="CV63" s="714"/>
      <c r="CW63" s="714"/>
      <c r="CX63" s="714"/>
      <c r="CY63" s="714"/>
      <c r="CZ63" s="714"/>
      <c r="DA63" s="714"/>
      <c r="DB63" s="714"/>
      <c r="DC63" s="714"/>
      <c r="DD63" s="714"/>
      <c r="DE63" s="714"/>
      <c r="DF63" s="714"/>
      <c r="DG63" s="714"/>
      <c r="DH63" s="714"/>
      <c r="DI63" s="714"/>
      <c r="DJ63" s="714"/>
      <c r="DK63" s="714"/>
      <c r="DL63" s="714"/>
      <c r="DM63" s="714"/>
      <c r="DN63" s="714"/>
      <c r="DO63" s="714"/>
      <c r="DP63" s="714"/>
      <c r="DQ63" s="714"/>
      <c r="DR63" s="714"/>
      <c r="DS63" s="714"/>
      <c r="DT63" s="714"/>
      <c r="DU63" s="714"/>
      <c r="DV63" s="714"/>
      <c r="DW63" s="714"/>
      <c r="DX63" s="714"/>
      <c r="DY63" s="714"/>
      <c r="DZ63" s="714"/>
      <c r="EA63" s="714"/>
      <c r="EB63" s="714"/>
      <c r="EC63" s="714"/>
      <c r="ED63" s="714"/>
      <c r="EE63" s="714"/>
      <c r="EF63" s="714"/>
      <c r="EG63" s="714"/>
      <c r="EH63" s="714"/>
      <c r="EI63" s="714"/>
      <c r="EJ63" s="714"/>
      <c r="EK63" s="714"/>
      <c r="EL63" s="714"/>
      <c r="EM63" s="714"/>
      <c r="EN63" s="714"/>
    </row>
    <row r="64" ht="21.0" customHeight="1">
      <c r="A64" s="813"/>
      <c r="B64" s="909" t="s">
        <v>1272</v>
      </c>
      <c r="C64" s="714"/>
      <c r="D64" s="714"/>
      <c r="E64" s="714"/>
      <c r="F64" s="714"/>
      <c r="G64" s="714"/>
      <c r="H64" s="714"/>
      <c r="I64" s="714"/>
      <c r="J64" s="714"/>
      <c r="K64" s="714"/>
      <c r="L64" s="714"/>
      <c r="M64" s="714"/>
      <c r="N64" s="714"/>
      <c r="O64" s="714"/>
      <c r="P64" s="714"/>
      <c r="Q64" s="714"/>
      <c r="R64" s="714"/>
      <c r="S64" s="714"/>
      <c r="T64" s="714"/>
      <c r="U64" s="714"/>
      <c r="V64" s="714"/>
      <c r="W64" s="714"/>
      <c r="X64" s="714"/>
      <c r="Y64" s="714"/>
      <c r="Z64" s="714"/>
      <c r="AA64" s="714"/>
      <c r="AB64" s="714"/>
      <c r="AC64" s="714"/>
      <c r="AD64" s="714"/>
      <c r="AE64" s="714"/>
      <c r="AF64" s="714"/>
      <c r="AG64" s="714"/>
      <c r="AH64" s="714"/>
      <c r="AI64" s="714"/>
      <c r="AJ64" s="714"/>
      <c r="AK64" s="714"/>
      <c r="AL64" s="714"/>
      <c r="AM64" s="714"/>
      <c r="AN64" s="714"/>
      <c r="AO64" s="714"/>
      <c r="AP64" s="714"/>
      <c r="AQ64" s="714"/>
      <c r="AR64" s="714"/>
      <c r="AS64" s="714"/>
      <c r="AT64" s="714"/>
      <c r="AU64" s="714"/>
      <c r="AV64" s="714"/>
      <c r="AW64" s="714"/>
      <c r="AX64" s="714"/>
      <c r="AY64" s="714"/>
      <c r="AZ64" s="714"/>
      <c r="BA64" s="714"/>
      <c r="BB64" s="714"/>
      <c r="BC64" s="847"/>
      <c r="BD64" s="847"/>
      <c r="BE64" s="847"/>
      <c r="BF64" s="847"/>
      <c r="BG64" s="847"/>
      <c r="BH64" s="847"/>
      <c r="BI64" s="847"/>
      <c r="BJ64" s="847"/>
      <c r="BK64" s="847"/>
      <c r="BL64" s="847"/>
      <c r="BM64" s="742" t="s">
        <v>1112</v>
      </c>
      <c r="BO64" s="829" t="s">
        <v>1232</v>
      </c>
      <c r="BP64" s="714"/>
      <c r="BQ64" s="714"/>
      <c r="BR64" s="714"/>
      <c r="BS64" s="714"/>
      <c r="BT64" s="714"/>
      <c r="BU64" s="714"/>
      <c r="BV64" s="714"/>
      <c r="BW64" s="714"/>
      <c r="BX64" s="714"/>
      <c r="BY64" s="714"/>
      <c r="BZ64" s="714"/>
      <c r="CA64" s="714"/>
      <c r="CB64" s="714"/>
      <c r="CC64" s="714"/>
      <c r="CD64" s="714"/>
      <c r="CE64" s="714"/>
      <c r="CF64" s="714"/>
      <c r="CG64" s="714"/>
      <c r="CH64" s="714"/>
      <c r="CI64" s="714"/>
      <c r="CJ64" s="714"/>
      <c r="CK64" s="714"/>
      <c r="CL64" s="714"/>
      <c r="CM64" s="714"/>
      <c r="CN64" s="714"/>
      <c r="CO64" s="714"/>
      <c r="CP64" s="714"/>
      <c r="CQ64" s="714"/>
      <c r="CR64" s="714"/>
      <c r="CS64" s="714"/>
      <c r="CT64" s="714"/>
      <c r="CU64" s="714"/>
      <c r="CV64" s="714"/>
      <c r="CW64" s="714"/>
      <c r="CX64" s="714"/>
      <c r="CY64" s="714"/>
      <c r="CZ64" s="714"/>
      <c r="DA64" s="714"/>
      <c r="DB64" s="714"/>
      <c r="DC64" s="714"/>
      <c r="DD64" s="714"/>
      <c r="DE64" s="714"/>
      <c r="DF64" s="714"/>
      <c r="DG64" s="714"/>
      <c r="DH64" s="714"/>
      <c r="DI64" s="714"/>
      <c r="DJ64" s="714"/>
      <c r="DK64" s="714"/>
      <c r="DL64" s="714"/>
      <c r="DM64" s="714"/>
      <c r="DN64" s="714"/>
      <c r="DO64" s="714"/>
      <c r="DP64" s="714"/>
      <c r="DQ64" s="714"/>
      <c r="DR64" s="714"/>
      <c r="DS64" s="714"/>
      <c r="DT64" s="714"/>
      <c r="DU64" s="714"/>
      <c r="DV64" s="714"/>
      <c r="DW64" s="714"/>
      <c r="DX64" s="714"/>
      <c r="DY64" s="714"/>
      <c r="DZ64" s="714"/>
      <c r="EA64" s="714"/>
      <c r="EB64" s="714"/>
      <c r="EC64" s="714"/>
      <c r="ED64" s="714"/>
      <c r="EE64" s="714"/>
      <c r="EF64" s="714"/>
      <c r="EG64" s="714"/>
      <c r="EH64" s="714"/>
      <c r="EI64" s="714"/>
      <c r="EJ64" s="714"/>
      <c r="EK64" s="714"/>
      <c r="EL64" s="714"/>
      <c r="EM64" s="714"/>
      <c r="EN64" s="714"/>
    </row>
    <row r="65" ht="21.0" customHeight="1">
      <c r="A65" s="813"/>
      <c r="B65" s="910" t="s">
        <v>175</v>
      </c>
      <c r="C65" s="911"/>
      <c r="D65" s="911"/>
      <c r="E65" s="911"/>
      <c r="F65" s="911"/>
      <c r="G65" s="911"/>
      <c r="H65" s="911"/>
      <c r="I65" s="911"/>
      <c r="J65" s="911"/>
      <c r="K65" s="911"/>
      <c r="L65" s="911"/>
      <c r="M65" s="911"/>
      <c r="N65" s="911"/>
      <c r="O65" s="911"/>
      <c r="P65" s="911"/>
      <c r="Q65" s="911"/>
      <c r="R65" s="911"/>
      <c r="S65" s="911"/>
      <c r="T65" s="911"/>
      <c r="U65" s="911"/>
      <c r="V65" s="911"/>
      <c r="W65" s="911"/>
      <c r="X65" s="911"/>
      <c r="Y65" s="911"/>
      <c r="Z65" s="911"/>
      <c r="AA65" s="911"/>
      <c r="AB65" s="911"/>
      <c r="AC65" s="911"/>
      <c r="AD65" s="911"/>
      <c r="AE65" s="911"/>
      <c r="AF65" s="911"/>
      <c r="AG65" s="911"/>
      <c r="AH65" s="911"/>
      <c r="AI65" s="911"/>
      <c r="AJ65" s="911"/>
      <c r="AK65" s="911"/>
      <c r="AL65" s="911"/>
      <c r="AM65" s="911"/>
      <c r="AN65" s="911"/>
      <c r="AO65" s="911"/>
      <c r="AP65" s="911"/>
      <c r="AQ65" s="911"/>
      <c r="AR65" s="911"/>
      <c r="AS65" s="911"/>
      <c r="AT65" s="911"/>
      <c r="AU65" s="911"/>
      <c r="AV65" s="911"/>
      <c r="AW65" s="911"/>
      <c r="AX65" s="911"/>
      <c r="AY65" s="911"/>
      <c r="AZ65" s="911"/>
      <c r="BA65" s="911"/>
      <c r="BB65" s="911"/>
      <c r="BC65" s="911"/>
      <c r="BD65" s="911"/>
      <c r="BE65" s="911"/>
      <c r="BF65" s="911"/>
      <c r="BG65" s="911"/>
      <c r="BH65" s="911"/>
      <c r="BI65" s="911"/>
      <c r="BJ65" s="911"/>
      <c r="BK65" s="911"/>
      <c r="BL65" s="911"/>
      <c r="BM65" s="912" t="s">
        <v>1157</v>
      </c>
      <c r="BP65" s="135"/>
      <c r="BQ65" s="913" t="s">
        <v>176</v>
      </c>
      <c r="BR65" s="914" t="s">
        <v>1273</v>
      </c>
      <c r="BU65" s="829" t="s">
        <v>1274</v>
      </c>
      <c r="BV65" s="829"/>
      <c r="BW65" s="911"/>
      <c r="BX65" s="911"/>
      <c r="BY65" s="911"/>
      <c r="BZ65" s="911"/>
      <c r="CA65" s="911"/>
      <c r="CB65" s="911"/>
      <c r="CC65" s="911"/>
      <c r="CD65" s="911"/>
      <c r="CE65" s="911"/>
      <c r="CF65" s="911"/>
      <c r="CG65" s="911"/>
      <c r="CH65" s="911"/>
      <c r="CI65" s="911"/>
      <c r="CJ65" s="911"/>
      <c r="CK65" s="911"/>
      <c r="CL65" s="911"/>
      <c r="CM65" s="911"/>
      <c r="CN65" s="911"/>
      <c r="CO65" s="911"/>
      <c r="CP65" s="911"/>
      <c r="CQ65" s="911"/>
      <c r="CR65" s="911"/>
      <c r="CS65" s="911"/>
      <c r="CT65" s="911"/>
      <c r="CU65" s="911"/>
      <c r="CV65" s="911"/>
      <c r="CW65" s="911"/>
      <c r="CX65" s="911"/>
      <c r="CY65" s="911"/>
      <c r="CZ65" s="911"/>
      <c r="DA65" s="911"/>
      <c r="DB65" s="911"/>
      <c r="DC65" s="911"/>
      <c r="DD65" s="911"/>
      <c r="DE65" s="911"/>
      <c r="DF65" s="911"/>
      <c r="DG65" s="911"/>
      <c r="DH65" s="911"/>
      <c r="DI65" s="911"/>
      <c r="DJ65" s="911"/>
      <c r="DK65" s="911"/>
      <c r="DL65" s="911"/>
      <c r="DM65" s="911"/>
      <c r="DN65" s="911"/>
      <c r="DO65" s="911"/>
      <c r="DP65" s="911"/>
      <c r="DQ65" s="911"/>
      <c r="DR65" s="911"/>
      <c r="DS65" s="911"/>
      <c r="DT65" s="911"/>
      <c r="DU65" s="911"/>
      <c r="DV65" s="911"/>
      <c r="DW65" s="911"/>
      <c r="DX65" s="911"/>
      <c r="DY65" s="911"/>
      <c r="DZ65" s="911"/>
      <c r="EA65" s="911"/>
      <c r="EB65" s="911"/>
      <c r="EC65" s="911"/>
      <c r="ED65" s="911"/>
      <c r="EE65" s="911"/>
      <c r="EF65" s="911"/>
      <c r="EG65" s="911"/>
      <c r="EH65" s="911"/>
      <c r="EI65" s="911"/>
      <c r="EJ65" s="911"/>
      <c r="EK65" s="911"/>
      <c r="EL65" s="911"/>
      <c r="EM65" s="911"/>
      <c r="EN65" s="911"/>
    </row>
    <row r="66" ht="21.0" customHeight="1">
      <c r="A66" s="813"/>
      <c r="B66" s="915" t="s">
        <v>161</v>
      </c>
      <c r="C66" s="911"/>
      <c r="D66" s="911"/>
      <c r="E66" s="911"/>
      <c r="F66" s="911"/>
      <c r="G66" s="911"/>
      <c r="H66" s="911"/>
      <c r="I66" s="911"/>
      <c r="J66" s="911"/>
      <c r="K66" s="911"/>
      <c r="L66" s="911"/>
      <c r="M66" s="911"/>
      <c r="N66" s="911"/>
      <c r="O66" s="911"/>
      <c r="P66" s="911"/>
      <c r="Q66" s="911"/>
      <c r="R66" s="911"/>
      <c r="S66" s="911"/>
      <c r="T66" s="911"/>
      <c r="U66" s="911"/>
      <c r="V66" s="911"/>
      <c r="W66" s="911"/>
      <c r="X66" s="911"/>
      <c r="Y66" s="911"/>
      <c r="Z66" s="911"/>
      <c r="AA66" s="911"/>
      <c r="AB66" s="911"/>
      <c r="AC66" s="911"/>
      <c r="AD66" s="911"/>
      <c r="AE66" s="911"/>
      <c r="AF66" s="911"/>
      <c r="AG66" s="911"/>
      <c r="AH66" s="911"/>
      <c r="AI66" s="911"/>
      <c r="AJ66" s="911"/>
      <c r="AK66" s="911"/>
      <c r="AL66" s="911"/>
      <c r="AM66" s="911"/>
      <c r="AN66" s="911"/>
      <c r="AO66" s="911"/>
      <c r="AP66" s="911"/>
      <c r="AQ66" s="911"/>
      <c r="AR66" s="911"/>
      <c r="AS66" s="911"/>
      <c r="AT66" s="911"/>
      <c r="AU66" s="911"/>
      <c r="AV66" s="911"/>
      <c r="AW66" s="911"/>
      <c r="AX66" s="911"/>
      <c r="AY66" s="911"/>
      <c r="AZ66" s="911"/>
      <c r="BA66" s="911"/>
      <c r="BB66" s="911"/>
      <c r="BC66" s="911"/>
      <c r="BD66" s="911"/>
      <c r="BE66" s="911"/>
      <c r="BF66" s="911"/>
      <c r="BG66" s="911"/>
      <c r="BH66" s="911"/>
      <c r="BI66" s="911"/>
      <c r="BJ66" s="911"/>
      <c r="BK66" s="911"/>
      <c r="BL66" s="911"/>
      <c r="BM66" s="801" t="s">
        <v>172</v>
      </c>
      <c r="BP66" s="700"/>
      <c r="BQ66" s="725" t="s">
        <v>1167</v>
      </c>
      <c r="BU66" s="829" t="s">
        <v>1275</v>
      </c>
      <c r="BV66" s="829"/>
      <c r="BW66" s="911"/>
      <c r="BX66" s="911"/>
      <c r="BY66" s="911"/>
      <c r="BZ66" s="911"/>
      <c r="CA66" s="911"/>
      <c r="CB66" s="911"/>
      <c r="CC66" s="911"/>
      <c r="CD66" s="911"/>
      <c r="CE66" s="911"/>
      <c r="CF66" s="911"/>
      <c r="CG66" s="911"/>
      <c r="CH66" s="911"/>
      <c r="CI66" s="911"/>
      <c r="CJ66" s="911"/>
      <c r="CK66" s="911"/>
      <c r="CL66" s="911"/>
      <c r="CM66" s="911"/>
      <c r="CN66" s="911"/>
      <c r="CO66" s="911"/>
      <c r="CP66" s="911"/>
      <c r="CQ66" s="911"/>
      <c r="CR66" s="911"/>
      <c r="CS66" s="911"/>
      <c r="CT66" s="911"/>
      <c r="CU66" s="911"/>
      <c r="CV66" s="911"/>
      <c r="CW66" s="911"/>
      <c r="CX66" s="911"/>
      <c r="CY66" s="911"/>
      <c r="CZ66" s="911"/>
      <c r="DA66" s="911"/>
      <c r="DB66" s="911"/>
      <c r="DC66" s="911"/>
      <c r="DD66" s="911"/>
      <c r="DE66" s="911"/>
      <c r="DF66" s="911"/>
      <c r="DG66" s="911"/>
      <c r="DH66" s="911"/>
      <c r="DI66" s="911"/>
      <c r="DJ66" s="911"/>
      <c r="DK66" s="911"/>
      <c r="DL66" s="911"/>
      <c r="DM66" s="911"/>
      <c r="DN66" s="911"/>
      <c r="DO66" s="911"/>
      <c r="DP66" s="911"/>
      <c r="DQ66" s="911"/>
      <c r="DR66" s="911"/>
      <c r="DS66" s="911"/>
      <c r="DT66" s="911"/>
      <c r="DU66" s="911"/>
      <c r="DV66" s="911"/>
      <c r="DW66" s="911"/>
      <c r="DX66" s="911"/>
      <c r="DY66" s="911"/>
      <c r="DZ66" s="911"/>
      <c r="EA66" s="911"/>
      <c r="EB66" s="911"/>
      <c r="EC66" s="911"/>
      <c r="ED66" s="911"/>
      <c r="EE66" s="911"/>
      <c r="EF66" s="911"/>
      <c r="EG66" s="911"/>
      <c r="EH66" s="911"/>
      <c r="EI66" s="911"/>
      <c r="EJ66" s="911"/>
      <c r="EK66" s="911"/>
      <c r="EL66" s="911"/>
      <c r="EM66" s="911"/>
      <c r="EN66" s="911"/>
    </row>
    <row r="67" ht="21.0" customHeight="1">
      <c r="A67" s="813"/>
      <c r="B67" s="916" t="s">
        <v>200</v>
      </c>
      <c r="C67" s="911"/>
      <c r="D67" s="911"/>
      <c r="E67" s="911"/>
      <c r="F67" s="911"/>
      <c r="G67" s="911"/>
      <c r="H67" s="911"/>
      <c r="I67" s="911"/>
      <c r="J67" s="911"/>
      <c r="K67" s="911"/>
      <c r="L67" s="911"/>
      <c r="M67" s="911"/>
      <c r="N67" s="911"/>
      <c r="O67" s="911"/>
      <c r="P67" s="911"/>
      <c r="Q67" s="911"/>
      <c r="R67" s="911"/>
      <c r="S67" s="911"/>
      <c r="T67" s="911"/>
      <c r="U67" s="911"/>
      <c r="V67" s="911"/>
      <c r="W67" s="911"/>
      <c r="X67" s="911"/>
      <c r="Y67" s="911"/>
      <c r="Z67" s="911"/>
      <c r="AA67" s="911"/>
      <c r="AB67" s="911"/>
      <c r="AC67" s="911"/>
      <c r="AD67" s="911"/>
      <c r="AE67" s="911"/>
      <c r="AF67" s="911"/>
      <c r="AG67" s="911"/>
      <c r="AH67" s="911"/>
      <c r="AI67" s="911"/>
      <c r="AJ67" s="911"/>
      <c r="AK67" s="911"/>
      <c r="AL67" s="911"/>
      <c r="AM67" s="911"/>
      <c r="AN67" s="911"/>
      <c r="AO67" s="911"/>
      <c r="AP67" s="911"/>
      <c r="AQ67" s="911"/>
      <c r="AR67" s="911"/>
      <c r="AS67" s="911"/>
      <c r="AT67" s="911"/>
      <c r="AU67" s="911"/>
      <c r="AV67" s="911"/>
      <c r="AW67" s="911"/>
      <c r="AX67" s="911"/>
      <c r="AY67" s="911"/>
      <c r="AZ67" s="911"/>
      <c r="BA67" s="911"/>
      <c r="BB67" s="911"/>
      <c r="BC67" s="911"/>
      <c r="BD67" s="911"/>
      <c r="BE67" s="911"/>
      <c r="BF67" s="911"/>
      <c r="BG67" s="911"/>
      <c r="BH67" s="911"/>
      <c r="BI67" s="911"/>
      <c r="BJ67" s="911"/>
      <c r="BK67" s="911"/>
      <c r="BL67" s="911"/>
      <c r="BM67" s="917" t="s">
        <v>1276</v>
      </c>
      <c r="BQ67" s="918"/>
      <c r="BR67" s="919" t="s">
        <v>201</v>
      </c>
      <c r="BV67" s="829" t="s">
        <v>1277</v>
      </c>
      <c r="BW67" s="911"/>
      <c r="BX67" s="911"/>
      <c r="BY67" s="911"/>
      <c r="BZ67" s="911"/>
      <c r="CA67" s="911"/>
      <c r="CB67" s="911"/>
      <c r="CC67" s="911"/>
      <c r="CD67" s="911"/>
      <c r="CE67" s="911"/>
      <c r="CF67" s="911"/>
      <c r="CG67" s="911"/>
      <c r="CH67" s="911"/>
      <c r="CI67" s="911"/>
      <c r="CJ67" s="911"/>
      <c r="CK67" s="911"/>
      <c r="CL67" s="911"/>
      <c r="CM67" s="911"/>
      <c r="CN67" s="911"/>
      <c r="CO67" s="911"/>
      <c r="CP67" s="911"/>
      <c r="CQ67" s="911"/>
      <c r="CR67" s="911"/>
      <c r="CS67" s="911"/>
      <c r="CT67" s="911"/>
      <c r="CU67" s="911"/>
      <c r="CV67" s="911"/>
      <c r="CW67" s="911"/>
      <c r="CX67" s="911"/>
      <c r="CY67" s="911"/>
      <c r="CZ67" s="911"/>
      <c r="DA67" s="911"/>
      <c r="DB67" s="911"/>
      <c r="DC67" s="911"/>
      <c r="DD67" s="911"/>
      <c r="DE67" s="911"/>
      <c r="DF67" s="911"/>
      <c r="DG67" s="911"/>
      <c r="DH67" s="911"/>
      <c r="DI67" s="911"/>
      <c r="DJ67" s="911"/>
      <c r="DK67" s="911"/>
      <c r="DL67" s="911"/>
      <c r="DM67" s="911"/>
      <c r="DN67" s="911"/>
      <c r="DO67" s="911"/>
      <c r="DP67" s="911"/>
      <c r="DQ67" s="911"/>
      <c r="DR67" s="911"/>
      <c r="DS67" s="911"/>
      <c r="DT67" s="911"/>
      <c r="DU67" s="911"/>
      <c r="DV67" s="911"/>
      <c r="DW67" s="911"/>
      <c r="DX67" s="911"/>
      <c r="DY67" s="911"/>
      <c r="DZ67" s="911"/>
      <c r="EA67" s="911"/>
      <c r="EB67" s="911"/>
      <c r="EC67" s="911"/>
      <c r="ED67" s="911"/>
      <c r="EE67" s="911"/>
      <c r="EF67" s="911"/>
      <c r="EG67" s="911"/>
      <c r="EH67" s="911"/>
      <c r="EI67" s="911"/>
      <c r="EJ67" s="911"/>
      <c r="EK67" s="911"/>
      <c r="EL67" s="911"/>
      <c r="EM67" s="911"/>
      <c r="EN67" s="911"/>
    </row>
    <row r="68" ht="21.0" customHeight="1">
      <c r="A68" s="813"/>
      <c r="B68" s="920" t="s">
        <v>1278</v>
      </c>
      <c r="C68" s="911"/>
      <c r="D68" s="911"/>
      <c r="E68" s="911"/>
      <c r="F68" s="911"/>
      <c r="G68" s="911"/>
      <c r="H68" s="911"/>
      <c r="I68" s="911"/>
      <c r="J68" s="911"/>
      <c r="K68" s="911"/>
      <c r="L68" s="911"/>
      <c r="M68" s="911"/>
      <c r="N68" s="911"/>
      <c r="O68" s="911"/>
      <c r="P68" s="911"/>
      <c r="Q68" s="911"/>
      <c r="R68" s="911"/>
      <c r="S68" s="911"/>
      <c r="T68" s="911"/>
      <c r="U68" s="911"/>
      <c r="V68" s="911"/>
      <c r="W68" s="911"/>
      <c r="X68" s="911"/>
      <c r="Y68" s="911"/>
      <c r="Z68" s="911"/>
      <c r="AA68" s="911"/>
      <c r="AB68" s="911"/>
      <c r="AC68" s="911"/>
      <c r="AD68" s="911"/>
      <c r="AE68" s="911"/>
      <c r="AF68" s="911"/>
      <c r="AG68" s="911"/>
      <c r="AH68" s="911"/>
      <c r="AI68" s="911"/>
      <c r="AJ68" s="911"/>
      <c r="AK68" s="911"/>
      <c r="AL68" s="911"/>
      <c r="AM68" s="911"/>
      <c r="AN68" s="911"/>
      <c r="AO68" s="911"/>
      <c r="AP68" s="911"/>
      <c r="AQ68" s="911"/>
      <c r="AR68" s="911"/>
      <c r="AS68" s="911"/>
      <c r="AT68" s="911"/>
      <c r="AU68" s="911"/>
      <c r="AV68" s="911"/>
      <c r="AW68" s="911"/>
      <c r="AX68" s="911"/>
      <c r="AY68" s="911"/>
      <c r="AZ68" s="911"/>
      <c r="BA68" s="911"/>
      <c r="BB68" s="911"/>
      <c r="BC68" s="911"/>
      <c r="BD68" s="911"/>
      <c r="BE68" s="911"/>
      <c r="BF68" s="911"/>
      <c r="BG68" s="911"/>
      <c r="BH68" s="911"/>
      <c r="BI68" s="911"/>
      <c r="BJ68" s="911"/>
      <c r="BK68" s="911"/>
      <c r="BL68" s="911"/>
      <c r="BM68" s="921" t="s">
        <v>1279</v>
      </c>
      <c r="BX68" s="829" t="s">
        <v>1186</v>
      </c>
      <c r="BY68" s="911"/>
      <c r="BZ68" s="911"/>
      <c r="CA68" s="911"/>
      <c r="CB68" s="911"/>
      <c r="CC68" s="911"/>
      <c r="CD68" s="911"/>
      <c r="CE68" s="911"/>
      <c r="CF68" s="911"/>
      <c r="CG68" s="911"/>
      <c r="CH68" s="911"/>
      <c r="CI68" s="911"/>
      <c r="CJ68" s="911"/>
      <c r="CK68" s="911"/>
      <c r="CL68" s="911"/>
      <c r="CM68" s="911"/>
      <c r="CN68" s="911"/>
      <c r="CO68" s="911"/>
      <c r="CP68" s="911"/>
      <c r="CQ68" s="911"/>
      <c r="CR68" s="911"/>
      <c r="CS68" s="911"/>
      <c r="CT68" s="911"/>
      <c r="CU68" s="911"/>
      <c r="CV68" s="911"/>
      <c r="CW68" s="911"/>
      <c r="CX68" s="911"/>
      <c r="CY68" s="911"/>
      <c r="CZ68" s="911"/>
      <c r="DA68" s="911"/>
      <c r="DB68" s="911"/>
      <c r="DC68" s="911"/>
      <c r="DD68" s="911"/>
      <c r="DE68" s="911"/>
      <c r="DF68" s="911"/>
      <c r="DG68" s="911"/>
      <c r="DH68" s="911"/>
      <c r="DI68" s="911"/>
      <c r="DJ68" s="911"/>
      <c r="DK68" s="911"/>
      <c r="DL68" s="911"/>
      <c r="DM68" s="911"/>
      <c r="DN68" s="911"/>
      <c r="DO68" s="911"/>
      <c r="DP68" s="911"/>
      <c r="DQ68" s="911"/>
      <c r="DR68" s="911"/>
      <c r="DS68" s="911"/>
      <c r="DT68" s="911"/>
      <c r="DU68" s="911"/>
      <c r="DV68" s="911"/>
      <c r="DW68" s="911"/>
      <c r="DX68" s="911"/>
      <c r="DY68" s="911"/>
      <c r="DZ68" s="911"/>
      <c r="EA68" s="911"/>
      <c r="EB68" s="911"/>
      <c r="EC68" s="911"/>
      <c r="ED68" s="911"/>
      <c r="EE68" s="911"/>
      <c r="EF68" s="911"/>
      <c r="EG68" s="911"/>
      <c r="EH68" s="911"/>
      <c r="EI68" s="911"/>
      <c r="EJ68" s="911"/>
      <c r="EK68" s="911"/>
      <c r="EL68" s="911"/>
      <c r="EM68" s="911"/>
      <c r="EN68" s="911"/>
    </row>
    <row r="69" ht="21.0" customHeight="1">
      <c r="A69" s="813"/>
      <c r="B69" s="922" t="s">
        <v>220</v>
      </c>
      <c r="C69" s="911"/>
      <c r="D69" s="911"/>
      <c r="E69" s="911"/>
      <c r="F69" s="911"/>
      <c r="G69" s="911"/>
      <c r="H69" s="911"/>
      <c r="I69" s="911"/>
      <c r="J69" s="911"/>
      <c r="K69" s="911"/>
      <c r="L69" s="911"/>
      <c r="M69" s="911"/>
      <c r="N69" s="911"/>
      <c r="O69" s="911"/>
      <c r="P69" s="911"/>
      <c r="Q69" s="911"/>
      <c r="R69" s="911"/>
      <c r="S69" s="911"/>
      <c r="T69" s="911"/>
      <c r="U69" s="911"/>
      <c r="V69" s="911"/>
      <c r="W69" s="911"/>
      <c r="X69" s="911"/>
      <c r="Y69" s="911"/>
      <c r="Z69" s="911"/>
      <c r="AA69" s="911"/>
      <c r="AB69" s="911"/>
      <c r="AC69" s="911"/>
      <c r="AD69" s="911"/>
      <c r="AE69" s="911"/>
      <c r="AF69" s="911"/>
      <c r="AG69" s="911"/>
      <c r="AH69" s="911"/>
      <c r="AI69" s="911"/>
      <c r="AJ69" s="911"/>
      <c r="AK69" s="911"/>
      <c r="AL69" s="911"/>
      <c r="AM69" s="911"/>
      <c r="AN69" s="911"/>
      <c r="AO69" s="911"/>
      <c r="AP69" s="911"/>
      <c r="AQ69" s="911"/>
      <c r="AR69" s="911"/>
      <c r="AS69" s="911"/>
      <c r="AT69" s="911"/>
      <c r="AU69" s="911"/>
      <c r="AV69" s="911"/>
      <c r="AW69" s="911"/>
      <c r="AX69" s="911"/>
      <c r="AY69" s="911"/>
      <c r="AZ69" s="911"/>
      <c r="BA69" s="911"/>
      <c r="BB69" s="911"/>
      <c r="BC69" s="911"/>
      <c r="BD69" s="911"/>
      <c r="BE69" s="911"/>
      <c r="BF69" s="911"/>
      <c r="BG69" s="911"/>
      <c r="BH69" s="911"/>
      <c r="BI69" s="911"/>
      <c r="BJ69" s="911"/>
      <c r="BK69" s="911"/>
      <c r="BL69" s="911"/>
      <c r="BM69" s="911"/>
      <c r="BN69" s="911"/>
      <c r="BO69" s="911"/>
      <c r="BP69" s="911"/>
      <c r="BQ69" s="911"/>
      <c r="BR69" s="911"/>
      <c r="BS69" s="911"/>
      <c r="BT69" s="911"/>
      <c r="BU69" s="815" t="s">
        <v>1280</v>
      </c>
      <c r="BV69" s="770" t="s">
        <v>172</v>
      </c>
      <c r="BY69" s="829" t="s">
        <v>1281</v>
      </c>
      <c r="BZ69" s="829"/>
      <c r="CA69" s="911"/>
      <c r="CB69" s="911"/>
      <c r="CC69" s="911"/>
      <c r="CD69" s="911"/>
      <c r="CE69" s="911"/>
      <c r="CF69" s="911"/>
      <c r="CG69" s="911"/>
      <c r="CH69" s="911"/>
      <c r="CI69" s="911"/>
      <c r="CJ69" s="911"/>
      <c r="CK69" s="911"/>
      <c r="CL69" s="911"/>
      <c r="CM69" s="911"/>
      <c r="CN69" s="911"/>
      <c r="CO69" s="911"/>
      <c r="CP69" s="911"/>
      <c r="CQ69" s="911"/>
      <c r="CR69" s="911"/>
      <c r="CS69" s="911"/>
      <c r="CT69" s="911"/>
      <c r="CU69" s="911"/>
      <c r="CV69" s="911"/>
      <c r="CW69" s="911"/>
      <c r="CX69" s="911"/>
      <c r="CY69" s="911"/>
      <c r="CZ69" s="911"/>
      <c r="DA69" s="911"/>
      <c r="DB69" s="911"/>
      <c r="DC69" s="911"/>
      <c r="DD69" s="911"/>
      <c r="DE69" s="911"/>
      <c r="DF69" s="911"/>
      <c r="DG69" s="911"/>
      <c r="DH69" s="911"/>
      <c r="DI69" s="911"/>
      <c r="DJ69" s="911"/>
      <c r="DK69" s="911"/>
      <c r="DL69" s="911"/>
      <c r="DM69" s="911"/>
      <c r="DN69" s="911"/>
      <c r="DO69" s="911"/>
      <c r="DP69" s="911"/>
      <c r="DQ69" s="911"/>
      <c r="DR69" s="911"/>
      <c r="DS69" s="911"/>
      <c r="DT69" s="911"/>
      <c r="DU69" s="911"/>
      <c r="DV69" s="911"/>
      <c r="DW69" s="911"/>
      <c r="DX69" s="911"/>
      <c r="DY69" s="911"/>
      <c r="DZ69" s="911"/>
      <c r="EA69" s="911"/>
      <c r="EB69" s="911"/>
      <c r="EC69" s="911"/>
      <c r="ED69" s="911"/>
      <c r="EE69" s="911"/>
      <c r="EF69" s="911"/>
      <c r="EG69" s="911"/>
      <c r="EH69" s="911"/>
      <c r="EI69" s="911"/>
      <c r="EJ69" s="911"/>
      <c r="EK69" s="911"/>
      <c r="EL69" s="911"/>
      <c r="EM69" s="911"/>
      <c r="EN69" s="911"/>
    </row>
    <row r="70" ht="21.0" customHeight="1">
      <c r="A70" s="813"/>
      <c r="B70" s="883" t="s">
        <v>234</v>
      </c>
      <c r="C70" s="911"/>
      <c r="D70" s="911"/>
      <c r="E70" s="911"/>
      <c r="F70" s="911"/>
      <c r="G70" s="911"/>
      <c r="H70" s="911"/>
      <c r="I70" s="911"/>
      <c r="J70" s="911"/>
      <c r="K70" s="911"/>
      <c r="L70" s="911"/>
      <c r="M70" s="911"/>
      <c r="N70" s="911"/>
      <c r="O70" s="911"/>
      <c r="P70" s="911"/>
      <c r="Q70" s="911"/>
      <c r="R70" s="911"/>
      <c r="S70" s="911"/>
      <c r="T70" s="911"/>
      <c r="U70" s="911"/>
      <c r="V70" s="911"/>
      <c r="W70" s="911"/>
      <c r="X70" s="911"/>
      <c r="Y70" s="911"/>
      <c r="Z70" s="911"/>
      <c r="AA70" s="911"/>
      <c r="AB70" s="911"/>
      <c r="AC70" s="911"/>
      <c r="AD70" s="911"/>
      <c r="AE70" s="911"/>
      <c r="AF70" s="911"/>
      <c r="AG70" s="911"/>
      <c r="AH70" s="911"/>
      <c r="AI70" s="911"/>
      <c r="AJ70" s="911"/>
      <c r="AK70" s="911"/>
      <c r="AL70" s="911"/>
      <c r="AM70" s="911"/>
      <c r="AN70" s="911"/>
      <c r="AO70" s="911"/>
      <c r="AP70" s="911"/>
      <c r="AQ70" s="911"/>
      <c r="AR70" s="911"/>
      <c r="AS70" s="911"/>
      <c r="AT70" s="911"/>
      <c r="AU70" s="911"/>
      <c r="AV70" s="911"/>
      <c r="AW70" s="911"/>
      <c r="AX70" s="911"/>
      <c r="AY70" s="911"/>
      <c r="AZ70" s="911"/>
      <c r="BA70" s="911"/>
      <c r="BB70" s="911"/>
      <c r="BC70" s="911"/>
      <c r="BD70" s="911"/>
      <c r="BE70" s="911"/>
      <c r="BF70" s="911"/>
      <c r="BG70" s="911"/>
      <c r="BH70" s="911"/>
      <c r="BI70" s="911"/>
      <c r="BJ70" s="911"/>
      <c r="BK70" s="911"/>
      <c r="BL70" s="911"/>
      <c r="BM70" s="795" t="s">
        <v>1106</v>
      </c>
      <c r="BP70" s="135"/>
      <c r="BQ70" s="923" t="s">
        <v>1282</v>
      </c>
      <c r="BY70" s="829" t="s">
        <v>1281</v>
      </c>
      <c r="BZ70" s="829"/>
      <c r="CA70" s="911"/>
      <c r="CB70" s="911"/>
      <c r="CC70" s="911"/>
      <c r="CD70" s="911"/>
      <c r="CE70" s="911"/>
      <c r="CF70" s="911"/>
      <c r="CG70" s="911"/>
      <c r="CH70" s="911"/>
      <c r="CI70" s="911"/>
      <c r="CJ70" s="911"/>
      <c r="CK70" s="911"/>
      <c r="CL70" s="911"/>
      <c r="CM70" s="911"/>
      <c r="CN70" s="911"/>
      <c r="CO70" s="911"/>
      <c r="CP70" s="911"/>
      <c r="CQ70" s="911"/>
      <c r="CR70" s="911"/>
      <c r="CS70" s="911"/>
      <c r="CT70" s="911"/>
      <c r="CU70" s="911"/>
      <c r="CV70" s="911"/>
      <c r="CW70" s="911"/>
      <c r="CX70" s="911"/>
      <c r="CY70" s="911"/>
      <c r="CZ70" s="911"/>
      <c r="DA70" s="911"/>
      <c r="DB70" s="911"/>
      <c r="DC70" s="911"/>
      <c r="DD70" s="911"/>
      <c r="DE70" s="911"/>
      <c r="DF70" s="911"/>
      <c r="DG70" s="911"/>
      <c r="DH70" s="911"/>
      <c r="DI70" s="911"/>
      <c r="DJ70" s="911"/>
      <c r="DK70" s="911"/>
      <c r="DL70" s="911"/>
      <c r="DM70" s="911"/>
      <c r="DN70" s="911"/>
      <c r="DO70" s="911"/>
      <c r="DP70" s="911"/>
      <c r="DQ70" s="911"/>
      <c r="DR70" s="911"/>
      <c r="DS70" s="911"/>
      <c r="DT70" s="911"/>
      <c r="DU70" s="911"/>
      <c r="DV70" s="911"/>
      <c r="DW70" s="911"/>
      <c r="DX70" s="911"/>
      <c r="DY70" s="911"/>
      <c r="DZ70" s="911"/>
      <c r="EA70" s="911"/>
      <c r="EB70" s="911"/>
      <c r="EC70" s="911"/>
      <c r="ED70" s="911"/>
      <c r="EE70" s="911"/>
      <c r="EF70" s="911"/>
      <c r="EG70" s="911"/>
      <c r="EH70" s="911"/>
      <c r="EI70" s="911"/>
      <c r="EJ70" s="911"/>
      <c r="EK70" s="911"/>
      <c r="EL70" s="911"/>
      <c r="EM70" s="911"/>
      <c r="EN70" s="911"/>
    </row>
    <row r="71" ht="21.0" customHeight="1">
      <c r="A71" s="813"/>
      <c r="B71" s="924" t="s">
        <v>1283</v>
      </c>
      <c r="C71" s="911"/>
      <c r="D71" s="911"/>
      <c r="E71" s="911"/>
      <c r="F71" s="911"/>
      <c r="G71" s="911"/>
      <c r="H71" s="911"/>
      <c r="I71" s="911"/>
      <c r="J71" s="911"/>
      <c r="K71" s="911"/>
      <c r="L71" s="911"/>
      <c r="M71" s="911"/>
      <c r="N71" s="911"/>
      <c r="O71" s="911"/>
      <c r="P71" s="911"/>
      <c r="Q71" s="911"/>
      <c r="R71" s="911"/>
      <c r="S71" s="911"/>
      <c r="T71" s="911"/>
      <c r="U71" s="911"/>
      <c r="V71" s="911"/>
      <c r="W71" s="911"/>
      <c r="X71" s="911"/>
      <c r="Y71" s="911"/>
      <c r="Z71" s="911"/>
      <c r="AA71" s="911"/>
      <c r="AB71" s="911"/>
      <c r="AC71" s="911"/>
      <c r="AD71" s="911"/>
      <c r="AE71" s="911"/>
      <c r="AF71" s="911"/>
      <c r="AG71" s="911"/>
      <c r="AH71" s="911"/>
      <c r="AI71" s="911"/>
      <c r="AJ71" s="911"/>
      <c r="AK71" s="911"/>
      <c r="AL71" s="911"/>
      <c r="AM71" s="911"/>
      <c r="AN71" s="911"/>
      <c r="AO71" s="911"/>
      <c r="AP71" s="911"/>
      <c r="AQ71" s="911"/>
      <c r="AR71" s="911"/>
      <c r="AS71" s="911"/>
      <c r="AT71" s="911"/>
      <c r="AU71" s="911"/>
      <c r="AV71" s="911"/>
      <c r="AW71" s="911"/>
      <c r="AX71" s="911"/>
      <c r="AY71" s="911"/>
      <c r="AZ71" s="911"/>
      <c r="BA71" s="911"/>
      <c r="BB71" s="911"/>
      <c r="BC71" s="911"/>
      <c r="BD71" s="911"/>
      <c r="BE71" s="911"/>
      <c r="BF71" s="911"/>
      <c r="BG71" s="911"/>
      <c r="BH71" s="911"/>
      <c r="BI71" s="911"/>
      <c r="BJ71" s="911"/>
      <c r="BK71" s="911"/>
      <c r="BL71" s="911"/>
      <c r="BM71" s="911"/>
      <c r="BN71" s="911"/>
      <c r="BO71" s="911"/>
      <c r="BP71" s="911"/>
      <c r="BQ71" s="911"/>
      <c r="BR71" s="911"/>
      <c r="BS71" s="911"/>
      <c r="BT71" s="911"/>
      <c r="BU71" s="911"/>
      <c r="BV71" s="829"/>
      <c r="BW71" s="925" t="s">
        <v>1284</v>
      </c>
      <c r="BZ71" s="829" t="s">
        <v>1224</v>
      </c>
      <c r="CA71" s="911"/>
      <c r="CB71" s="911"/>
      <c r="CC71" s="911"/>
      <c r="CD71" s="911"/>
      <c r="CE71" s="911"/>
      <c r="CF71" s="911"/>
      <c r="CG71" s="911"/>
      <c r="CH71" s="911"/>
      <c r="CI71" s="911"/>
      <c r="CJ71" s="911"/>
      <c r="CK71" s="911"/>
      <c r="CL71" s="911"/>
      <c r="CM71" s="911"/>
      <c r="CN71" s="911"/>
      <c r="CO71" s="911"/>
      <c r="CP71" s="911"/>
      <c r="CQ71" s="911"/>
      <c r="CR71" s="911"/>
      <c r="CS71" s="911"/>
      <c r="CT71" s="911"/>
      <c r="CU71" s="911"/>
      <c r="CV71" s="911"/>
      <c r="CW71" s="911"/>
      <c r="CX71" s="911"/>
      <c r="CY71" s="911"/>
      <c r="CZ71" s="911"/>
      <c r="DA71" s="911"/>
      <c r="DB71" s="911"/>
      <c r="DC71" s="911"/>
      <c r="DD71" s="911"/>
      <c r="DE71" s="911"/>
      <c r="DF71" s="911"/>
      <c r="DG71" s="911"/>
      <c r="DH71" s="911"/>
      <c r="DI71" s="911"/>
      <c r="DJ71" s="911"/>
      <c r="DK71" s="911"/>
      <c r="DL71" s="911"/>
      <c r="DM71" s="911"/>
      <c r="DN71" s="911"/>
      <c r="DO71" s="911"/>
      <c r="DP71" s="911"/>
      <c r="DQ71" s="911"/>
      <c r="DR71" s="911"/>
      <c r="DS71" s="911"/>
      <c r="DT71" s="911"/>
      <c r="DU71" s="911"/>
      <c r="DV71" s="911"/>
      <c r="DW71" s="911"/>
      <c r="DX71" s="911"/>
      <c r="DY71" s="911"/>
      <c r="DZ71" s="911"/>
      <c r="EA71" s="911"/>
      <c r="EB71" s="911"/>
      <c r="EC71" s="911"/>
      <c r="ED71" s="911"/>
      <c r="EE71" s="911"/>
      <c r="EF71" s="911"/>
      <c r="EG71" s="911"/>
      <c r="EH71" s="911"/>
      <c r="EI71" s="911"/>
      <c r="EJ71" s="911"/>
      <c r="EK71" s="911"/>
      <c r="EL71" s="911"/>
      <c r="EM71" s="911"/>
      <c r="EN71" s="911"/>
    </row>
    <row r="72" ht="21.0" customHeight="1">
      <c r="A72" s="813"/>
      <c r="B72" s="926" t="s">
        <v>169</v>
      </c>
      <c r="C72" s="911"/>
      <c r="D72" s="911"/>
      <c r="E72" s="911"/>
      <c r="F72" s="911"/>
      <c r="G72" s="911"/>
      <c r="H72" s="911"/>
      <c r="I72" s="911"/>
      <c r="J72" s="911"/>
      <c r="K72" s="911"/>
      <c r="L72" s="911"/>
      <c r="M72" s="911"/>
      <c r="N72" s="911"/>
      <c r="O72" s="911"/>
      <c r="P72" s="911"/>
      <c r="Q72" s="911"/>
      <c r="R72" s="911"/>
      <c r="S72" s="911"/>
      <c r="T72" s="911"/>
      <c r="U72" s="911"/>
      <c r="V72" s="911"/>
      <c r="W72" s="911"/>
      <c r="X72" s="911"/>
      <c r="Y72" s="911"/>
      <c r="Z72" s="911"/>
      <c r="AA72" s="911"/>
      <c r="AB72" s="911"/>
      <c r="AC72" s="911"/>
      <c r="AD72" s="911"/>
      <c r="AE72" s="911"/>
      <c r="AF72" s="911"/>
      <c r="AG72" s="911"/>
      <c r="AH72" s="911"/>
      <c r="AI72" s="911"/>
      <c r="AJ72" s="911"/>
      <c r="AK72" s="911"/>
      <c r="AL72" s="911"/>
      <c r="AM72" s="911"/>
      <c r="AN72" s="911"/>
      <c r="AO72" s="911"/>
      <c r="AP72" s="911"/>
      <c r="AQ72" s="911"/>
      <c r="AR72" s="911"/>
      <c r="AS72" s="911"/>
      <c r="AT72" s="911"/>
      <c r="AU72" s="911"/>
      <c r="AV72" s="911"/>
      <c r="AW72" s="911"/>
      <c r="AX72" s="911"/>
      <c r="AY72" s="911"/>
      <c r="AZ72" s="911"/>
      <c r="BA72" s="911"/>
      <c r="BB72" s="911"/>
      <c r="BC72" s="911"/>
      <c r="BD72" s="911"/>
      <c r="BE72" s="911"/>
      <c r="BF72" s="911"/>
      <c r="BG72" s="911"/>
      <c r="BH72" s="911"/>
      <c r="BI72" s="911"/>
      <c r="BJ72" s="911"/>
      <c r="BK72" s="911"/>
      <c r="BL72" s="911"/>
      <c r="BM72" s="927" t="s">
        <v>195</v>
      </c>
      <c r="BT72" s="135"/>
      <c r="BU72" s="928" t="s">
        <v>1112</v>
      </c>
      <c r="BV72" s="135"/>
      <c r="BW72" s="929" t="s">
        <v>308</v>
      </c>
      <c r="CA72" s="829" t="s">
        <v>1232</v>
      </c>
      <c r="CJ72" s="911"/>
      <c r="CK72" s="911"/>
      <c r="CL72" s="911"/>
      <c r="CM72" s="911"/>
      <c r="CN72" s="911"/>
      <c r="CO72" s="911"/>
      <c r="CP72" s="911"/>
      <c r="CQ72" s="911"/>
      <c r="CR72" s="911"/>
      <c r="CS72" s="911"/>
      <c r="CT72" s="911"/>
      <c r="CU72" s="911"/>
      <c r="CV72" s="911"/>
      <c r="CW72" s="911"/>
      <c r="CX72" s="911"/>
      <c r="CY72" s="911"/>
      <c r="CZ72" s="911"/>
      <c r="DA72" s="911"/>
      <c r="DB72" s="911"/>
      <c r="DC72" s="911"/>
      <c r="DD72" s="911"/>
      <c r="DE72" s="911"/>
      <c r="DF72" s="911"/>
      <c r="DG72" s="911"/>
      <c r="DH72" s="911"/>
      <c r="DI72" s="911"/>
      <c r="DJ72" s="911"/>
      <c r="DK72" s="911"/>
      <c r="DL72" s="911"/>
      <c r="DM72" s="911"/>
      <c r="DN72" s="911"/>
      <c r="DO72" s="911"/>
      <c r="DP72" s="911"/>
      <c r="DQ72" s="911"/>
      <c r="DR72" s="911"/>
      <c r="DS72" s="911"/>
      <c r="DT72" s="911"/>
      <c r="DU72" s="911"/>
      <c r="DV72" s="911"/>
      <c r="DW72" s="911"/>
      <c r="DX72" s="911"/>
      <c r="DY72" s="911"/>
      <c r="DZ72" s="911"/>
      <c r="EA72" s="911"/>
      <c r="EB72" s="911"/>
      <c r="EC72" s="911"/>
      <c r="ED72" s="911"/>
      <c r="EE72" s="911"/>
      <c r="EF72" s="911"/>
      <c r="EG72" s="911"/>
      <c r="EH72" s="911"/>
      <c r="EI72" s="911"/>
      <c r="EJ72" s="911"/>
      <c r="EK72" s="911"/>
      <c r="EL72" s="911"/>
      <c r="EM72" s="911"/>
      <c r="EN72" s="911"/>
    </row>
    <row r="73" ht="21.0" customHeight="1">
      <c r="A73" s="813"/>
      <c r="B73" s="930" t="s">
        <v>228</v>
      </c>
      <c r="C73" s="911"/>
      <c r="D73" s="911"/>
      <c r="E73" s="911"/>
      <c r="F73" s="911"/>
      <c r="G73" s="911"/>
      <c r="H73" s="911"/>
      <c r="I73" s="911"/>
      <c r="J73" s="911"/>
      <c r="K73" s="911"/>
      <c r="L73" s="911"/>
      <c r="M73" s="911"/>
      <c r="N73" s="911"/>
      <c r="O73" s="911"/>
      <c r="P73" s="911"/>
      <c r="Q73" s="911"/>
      <c r="R73" s="911"/>
      <c r="S73" s="911"/>
      <c r="T73" s="911"/>
      <c r="U73" s="911"/>
      <c r="V73" s="911"/>
      <c r="W73" s="911"/>
      <c r="X73" s="911"/>
      <c r="Y73" s="911"/>
      <c r="Z73" s="911"/>
      <c r="AA73" s="911"/>
      <c r="AB73" s="911"/>
      <c r="AC73" s="911"/>
      <c r="AD73" s="911"/>
      <c r="AE73" s="911"/>
      <c r="AF73" s="911"/>
      <c r="AG73" s="911"/>
      <c r="AH73" s="911"/>
      <c r="AI73" s="911"/>
      <c r="AJ73" s="911"/>
      <c r="AK73" s="911"/>
      <c r="AL73" s="911"/>
      <c r="AM73" s="911"/>
      <c r="AN73" s="911"/>
      <c r="AO73" s="911"/>
      <c r="AP73" s="911"/>
      <c r="AQ73" s="911"/>
      <c r="AR73" s="911"/>
      <c r="AS73" s="911"/>
      <c r="AT73" s="911"/>
      <c r="AU73" s="911"/>
      <c r="AV73" s="911"/>
      <c r="AW73" s="911"/>
      <c r="AX73" s="911"/>
      <c r="AY73" s="911"/>
      <c r="AZ73" s="911"/>
      <c r="BA73" s="911"/>
      <c r="BB73" s="911"/>
      <c r="BC73" s="911"/>
      <c r="BD73" s="911"/>
      <c r="BE73" s="911"/>
      <c r="BF73" s="911"/>
      <c r="BG73" s="911"/>
      <c r="BH73" s="911"/>
      <c r="BI73" s="911"/>
      <c r="BJ73" s="911"/>
      <c r="BK73" s="911"/>
      <c r="BL73" s="911"/>
      <c r="BM73" s="931" t="s">
        <v>1150</v>
      </c>
      <c r="CA73" s="829" t="s">
        <v>1232</v>
      </c>
      <c r="CJ73" s="911"/>
      <c r="CK73" s="911"/>
      <c r="CL73" s="911"/>
      <c r="CM73" s="911"/>
      <c r="CN73" s="911"/>
      <c r="CO73" s="911"/>
      <c r="CP73" s="911"/>
      <c r="CQ73" s="911"/>
      <c r="CR73" s="911"/>
      <c r="CS73" s="911"/>
      <c r="CT73" s="911"/>
      <c r="CU73" s="911"/>
      <c r="CV73" s="911"/>
      <c r="CW73" s="911"/>
      <c r="CX73" s="911"/>
      <c r="CY73" s="911"/>
      <c r="CZ73" s="911"/>
      <c r="DA73" s="911"/>
      <c r="DB73" s="911"/>
      <c r="DC73" s="911"/>
      <c r="DD73" s="911"/>
      <c r="DE73" s="911"/>
      <c r="DF73" s="911"/>
      <c r="DG73" s="911"/>
      <c r="DH73" s="911"/>
      <c r="DI73" s="911"/>
      <c r="DJ73" s="911"/>
      <c r="DK73" s="911"/>
      <c r="DL73" s="911"/>
      <c r="DM73" s="911"/>
      <c r="DN73" s="911"/>
      <c r="DO73" s="911"/>
      <c r="DP73" s="911"/>
      <c r="DQ73" s="911"/>
      <c r="DR73" s="911"/>
      <c r="DS73" s="911"/>
      <c r="DT73" s="911"/>
      <c r="DU73" s="911"/>
      <c r="DV73" s="911"/>
      <c r="DW73" s="911"/>
      <c r="DX73" s="911"/>
      <c r="DY73" s="911"/>
      <c r="DZ73" s="911"/>
      <c r="EA73" s="911"/>
      <c r="EB73" s="911"/>
      <c r="EC73" s="911"/>
      <c r="ED73" s="911"/>
      <c r="EE73" s="911"/>
      <c r="EF73" s="911"/>
      <c r="EG73" s="911"/>
      <c r="EH73" s="911"/>
      <c r="EI73" s="911"/>
      <c r="EJ73" s="911"/>
      <c r="EK73" s="911"/>
      <c r="EL73" s="911"/>
      <c r="EM73" s="911"/>
      <c r="EN73" s="911"/>
    </row>
    <row r="74" ht="21.0" customHeight="1">
      <c r="A74" s="813"/>
      <c r="B74" s="932" t="s">
        <v>1285</v>
      </c>
      <c r="C74" s="911"/>
      <c r="D74" s="911"/>
      <c r="E74" s="911"/>
      <c r="F74" s="911"/>
      <c r="G74" s="911"/>
      <c r="H74" s="911"/>
      <c r="I74" s="911"/>
      <c r="J74" s="911"/>
      <c r="K74" s="911"/>
      <c r="L74" s="911"/>
      <c r="M74" s="911"/>
      <c r="N74" s="911"/>
      <c r="O74" s="911"/>
      <c r="P74" s="911"/>
      <c r="Q74" s="911"/>
      <c r="R74" s="911"/>
      <c r="S74" s="911"/>
      <c r="T74" s="911"/>
      <c r="U74" s="911"/>
      <c r="V74" s="911"/>
      <c r="W74" s="911"/>
      <c r="X74" s="911"/>
      <c r="Y74" s="911"/>
      <c r="Z74" s="911"/>
      <c r="AA74" s="911"/>
      <c r="AB74" s="911"/>
      <c r="AC74" s="911"/>
      <c r="AD74" s="911"/>
      <c r="AE74" s="911"/>
      <c r="AF74" s="911"/>
      <c r="AG74" s="911"/>
      <c r="AH74" s="911"/>
      <c r="AI74" s="911"/>
      <c r="AJ74" s="911"/>
      <c r="AK74" s="911"/>
      <c r="AL74" s="911"/>
      <c r="AM74" s="911"/>
      <c r="AN74" s="911"/>
      <c r="AO74" s="911"/>
      <c r="AP74" s="911"/>
      <c r="AQ74" s="911"/>
      <c r="AR74" s="911"/>
      <c r="AS74" s="911"/>
      <c r="AT74" s="911"/>
      <c r="AU74" s="911"/>
      <c r="AV74" s="911"/>
      <c r="AW74" s="911"/>
      <c r="AX74" s="911"/>
      <c r="AY74" s="911"/>
      <c r="AZ74" s="911"/>
      <c r="BA74" s="911"/>
      <c r="BB74" s="911"/>
      <c r="BC74" s="911"/>
      <c r="BD74" s="911"/>
      <c r="BE74" s="911"/>
      <c r="BF74" s="911"/>
      <c r="BG74" s="911"/>
      <c r="BH74" s="911"/>
      <c r="BI74" s="911"/>
      <c r="BJ74" s="911"/>
      <c r="BK74" s="911"/>
      <c r="BL74" s="911"/>
      <c r="BM74" s="933" t="s">
        <v>1286</v>
      </c>
      <c r="CA74" s="829" t="s">
        <v>1232</v>
      </c>
      <c r="CJ74" s="911"/>
      <c r="CK74" s="911"/>
      <c r="CL74" s="911"/>
      <c r="CM74" s="911"/>
      <c r="CN74" s="911"/>
      <c r="CO74" s="911"/>
      <c r="CP74" s="911"/>
      <c r="CQ74" s="911"/>
      <c r="CR74" s="911"/>
      <c r="CS74" s="911"/>
      <c r="CT74" s="911"/>
      <c r="CU74" s="911"/>
      <c r="CV74" s="911"/>
      <c r="CW74" s="911"/>
      <c r="CX74" s="911"/>
      <c r="CY74" s="911"/>
      <c r="CZ74" s="911"/>
      <c r="DA74" s="911"/>
      <c r="DB74" s="911"/>
      <c r="DC74" s="911"/>
      <c r="DD74" s="911"/>
      <c r="DE74" s="911"/>
      <c r="DF74" s="911"/>
      <c r="DG74" s="911"/>
      <c r="DH74" s="911"/>
      <c r="DI74" s="911"/>
      <c r="DJ74" s="911"/>
      <c r="DK74" s="911"/>
      <c r="DL74" s="911"/>
      <c r="DM74" s="911"/>
      <c r="DN74" s="911"/>
      <c r="DO74" s="911"/>
      <c r="DP74" s="911"/>
      <c r="DQ74" s="911"/>
      <c r="DR74" s="911"/>
      <c r="DS74" s="911"/>
      <c r="DT74" s="911"/>
      <c r="DU74" s="911"/>
      <c r="DV74" s="911"/>
      <c r="DW74" s="911"/>
      <c r="DX74" s="911"/>
      <c r="DY74" s="911"/>
      <c r="DZ74" s="911"/>
      <c r="EA74" s="911"/>
      <c r="EB74" s="911"/>
      <c r="EC74" s="911"/>
      <c r="ED74" s="911"/>
      <c r="EE74" s="911"/>
      <c r="EF74" s="911"/>
      <c r="EG74" s="911"/>
      <c r="EH74" s="911"/>
      <c r="EI74" s="911"/>
      <c r="EJ74" s="911"/>
      <c r="EK74" s="911"/>
      <c r="EL74" s="911"/>
      <c r="EM74" s="911"/>
      <c r="EN74" s="911"/>
    </row>
    <row r="75" ht="21.0" customHeight="1">
      <c r="A75" s="813"/>
      <c r="B75" s="934" t="s">
        <v>1287</v>
      </c>
      <c r="C75" s="911"/>
      <c r="D75" s="911"/>
      <c r="E75" s="911"/>
      <c r="F75" s="911"/>
      <c r="G75" s="911"/>
      <c r="H75" s="911"/>
      <c r="I75" s="911"/>
      <c r="J75" s="911"/>
      <c r="K75" s="911"/>
      <c r="L75" s="911"/>
      <c r="M75" s="911"/>
      <c r="N75" s="911"/>
      <c r="O75" s="911"/>
      <c r="P75" s="911"/>
      <c r="Q75" s="911"/>
      <c r="R75" s="911"/>
      <c r="S75" s="911"/>
      <c r="T75" s="911"/>
      <c r="U75" s="911"/>
      <c r="V75" s="911"/>
      <c r="W75" s="911"/>
      <c r="X75" s="911"/>
      <c r="Y75" s="911"/>
      <c r="Z75" s="911"/>
      <c r="AA75" s="911"/>
      <c r="AB75" s="911"/>
      <c r="AC75" s="911"/>
      <c r="AD75" s="911"/>
      <c r="AE75" s="911"/>
      <c r="AF75" s="911"/>
      <c r="AG75" s="911"/>
      <c r="AH75" s="911"/>
      <c r="AI75" s="911"/>
      <c r="AJ75" s="911"/>
      <c r="AK75" s="911"/>
      <c r="AL75" s="911"/>
      <c r="AM75" s="911"/>
      <c r="AN75" s="911"/>
      <c r="AO75" s="911"/>
      <c r="AP75" s="911"/>
      <c r="AQ75" s="911"/>
      <c r="AR75" s="911"/>
      <c r="AS75" s="911"/>
      <c r="AT75" s="911"/>
      <c r="AU75" s="911"/>
      <c r="AV75" s="911"/>
      <c r="AW75" s="911"/>
      <c r="AX75" s="911"/>
      <c r="AY75" s="911"/>
      <c r="AZ75" s="911"/>
      <c r="BA75" s="911"/>
      <c r="BB75" s="911"/>
      <c r="BC75" s="911"/>
      <c r="BD75" s="911"/>
      <c r="BE75" s="911"/>
      <c r="BF75" s="911"/>
      <c r="BG75" s="911"/>
      <c r="BH75" s="911"/>
      <c r="BI75" s="911"/>
      <c r="BJ75" s="911"/>
      <c r="BK75" s="911"/>
      <c r="BL75" s="911"/>
      <c r="BM75" s="738" t="s">
        <v>1137</v>
      </c>
      <c r="BY75" s="700"/>
      <c r="BZ75" s="935" t="s">
        <v>1112</v>
      </c>
      <c r="CB75" s="829" t="s">
        <v>1288</v>
      </c>
      <c r="CC75" s="911"/>
      <c r="CD75" s="911"/>
      <c r="CE75" s="911"/>
      <c r="CF75" s="911"/>
      <c r="CG75" s="911"/>
      <c r="CH75" s="911"/>
      <c r="CI75" s="911"/>
      <c r="CJ75" s="911"/>
      <c r="CK75" s="911"/>
      <c r="CL75" s="911"/>
      <c r="CM75" s="911"/>
      <c r="CN75" s="911"/>
      <c r="CO75" s="911"/>
      <c r="CP75" s="911"/>
      <c r="CQ75" s="911"/>
      <c r="CR75" s="911"/>
      <c r="CS75" s="911"/>
      <c r="CT75" s="911"/>
      <c r="CU75" s="911"/>
      <c r="CV75" s="911"/>
      <c r="CW75" s="911"/>
      <c r="CX75" s="911"/>
      <c r="CY75" s="911"/>
      <c r="CZ75" s="911"/>
      <c r="DA75" s="911"/>
      <c r="DB75" s="911"/>
      <c r="DC75" s="911"/>
      <c r="DD75" s="911"/>
      <c r="DE75" s="911"/>
      <c r="DF75" s="911"/>
      <c r="DG75" s="911"/>
      <c r="DH75" s="911"/>
      <c r="DI75" s="911"/>
      <c r="DJ75" s="911"/>
      <c r="DK75" s="911"/>
      <c r="DL75" s="911"/>
      <c r="DM75" s="911"/>
      <c r="DN75" s="911"/>
      <c r="DO75" s="911"/>
      <c r="DP75" s="911"/>
      <c r="DQ75" s="911"/>
      <c r="DR75" s="911"/>
      <c r="DS75" s="911"/>
      <c r="DT75" s="911"/>
      <c r="DU75" s="911"/>
      <c r="DV75" s="911"/>
      <c r="DW75" s="911"/>
      <c r="DX75" s="911"/>
      <c r="DY75" s="911"/>
      <c r="DZ75" s="911"/>
      <c r="EA75" s="911"/>
      <c r="EB75" s="911"/>
      <c r="EC75" s="911"/>
      <c r="ED75" s="911"/>
      <c r="EE75" s="911"/>
      <c r="EF75" s="911"/>
      <c r="EG75" s="911"/>
      <c r="EH75" s="911"/>
      <c r="EI75" s="911"/>
      <c r="EJ75" s="911"/>
      <c r="EK75" s="911"/>
      <c r="EL75" s="911"/>
      <c r="EM75" s="911"/>
      <c r="EN75" s="911"/>
    </row>
    <row r="76" ht="21.0" customHeight="1">
      <c r="A76" s="813"/>
      <c r="B76" s="936" t="s">
        <v>1289</v>
      </c>
      <c r="C76" s="911"/>
      <c r="D76" s="911"/>
      <c r="E76" s="911"/>
      <c r="F76" s="911"/>
      <c r="G76" s="911"/>
      <c r="H76" s="911"/>
      <c r="I76" s="911"/>
      <c r="J76" s="911"/>
      <c r="K76" s="911"/>
      <c r="L76" s="911"/>
      <c r="M76" s="911"/>
      <c r="N76" s="911"/>
      <c r="O76" s="911"/>
      <c r="P76" s="911"/>
      <c r="Q76" s="911"/>
      <c r="R76" s="911"/>
      <c r="S76" s="911"/>
      <c r="T76" s="911"/>
      <c r="U76" s="911"/>
      <c r="V76" s="911"/>
      <c r="W76" s="911"/>
      <c r="X76" s="911"/>
      <c r="Y76" s="911"/>
      <c r="Z76" s="911"/>
      <c r="AA76" s="911"/>
      <c r="AB76" s="911"/>
      <c r="AC76" s="911"/>
      <c r="AD76" s="911"/>
      <c r="AE76" s="911"/>
      <c r="AF76" s="911"/>
      <c r="AG76" s="911"/>
      <c r="AH76" s="911"/>
      <c r="AI76" s="911"/>
      <c r="AJ76" s="911"/>
      <c r="AK76" s="911"/>
      <c r="AL76" s="911"/>
      <c r="AM76" s="911"/>
      <c r="AN76" s="911"/>
      <c r="AO76" s="911"/>
      <c r="AP76" s="911"/>
      <c r="AQ76" s="911"/>
      <c r="AR76" s="911"/>
      <c r="AS76" s="911"/>
      <c r="AT76" s="911"/>
      <c r="AU76" s="911"/>
      <c r="AV76" s="911"/>
      <c r="AW76" s="911"/>
      <c r="AX76" s="911"/>
      <c r="AY76" s="911"/>
      <c r="AZ76" s="911"/>
      <c r="BA76" s="911"/>
      <c r="BB76" s="911"/>
      <c r="BC76" s="911"/>
      <c r="BD76" s="911"/>
      <c r="BE76" s="911"/>
      <c r="BF76" s="911"/>
      <c r="BG76" s="911"/>
      <c r="BH76" s="911"/>
      <c r="BI76" s="911"/>
      <c r="BJ76" s="911"/>
      <c r="BK76" s="911"/>
      <c r="BL76" s="911"/>
      <c r="BM76" s="746" t="s">
        <v>1147</v>
      </c>
      <c r="BX76" s="700"/>
      <c r="BY76" s="762" t="s">
        <v>244</v>
      </c>
      <c r="CB76" s="829" t="s">
        <v>1290</v>
      </c>
      <c r="CC76" s="911"/>
      <c r="CD76" s="911"/>
      <c r="CE76" s="911"/>
      <c r="CF76" s="911"/>
      <c r="CG76" s="911"/>
      <c r="CH76" s="911"/>
      <c r="CI76" s="911"/>
      <c r="CJ76" s="911"/>
      <c r="CK76" s="911"/>
      <c r="CL76" s="911"/>
      <c r="CM76" s="911"/>
      <c r="CN76" s="911"/>
      <c r="CO76" s="911"/>
      <c r="CP76" s="911"/>
      <c r="CQ76" s="911"/>
      <c r="CR76" s="911"/>
      <c r="CS76" s="911"/>
      <c r="CT76" s="911"/>
      <c r="CU76" s="911"/>
      <c r="CV76" s="911"/>
      <c r="CW76" s="911"/>
      <c r="CX76" s="911"/>
      <c r="CY76" s="911"/>
      <c r="CZ76" s="911"/>
      <c r="DA76" s="911"/>
      <c r="DB76" s="911"/>
      <c r="DC76" s="911"/>
      <c r="DD76" s="911"/>
      <c r="DE76" s="911"/>
      <c r="DF76" s="911"/>
      <c r="DG76" s="911"/>
      <c r="DH76" s="911"/>
      <c r="DI76" s="911"/>
      <c r="DJ76" s="911"/>
      <c r="DK76" s="911"/>
      <c r="DL76" s="911"/>
      <c r="DM76" s="911"/>
      <c r="DN76" s="911"/>
      <c r="DO76" s="911"/>
      <c r="DP76" s="911"/>
      <c r="DQ76" s="911"/>
      <c r="DR76" s="911"/>
      <c r="DS76" s="911"/>
      <c r="DT76" s="911"/>
      <c r="DU76" s="911"/>
      <c r="DV76" s="911"/>
      <c r="DW76" s="911"/>
      <c r="DX76" s="911"/>
      <c r="DY76" s="911"/>
      <c r="DZ76" s="911"/>
      <c r="EA76" s="911"/>
      <c r="EB76" s="911"/>
      <c r="EC76" s="911"/>
      <c r="ED76" s="911"/>
      <c r="EE76" s="911"/>
      <c r="EF76" s="911"/>
      <c r="EG76" s="911"/>
      <c r="EH76" s="911"/>
      <c r="EI76" s="911"/>
      <c r="EJ76" s="911"/>
      <c r="EK76" s="911"/>
      <c r="EL76" s="911"/>
      <c r="EM76" s="911"/>
      <c r="EN76" s="911"/>
    </row>
    <row r="77" ht="21.0" customHeight="1">
      <c r="A77" s="813"/>
      <c r="B77" s="937" t="s">
        <v>1291</v>
      </c>
      <c r="C77" s="911"/>
      <c r="D77" s="911"/>
      <c r="E77" s="911"/>
      <c r="F77" s="911"/>
      <c r="G77" s="911"/>
      <c r="H77" s="911"/>
      <c r="I77" s="911"/>
      <c r="J77" s="911"/>
      <c r="K77" s="911"/>
      <c r="L77" s="911"/>
      <c r="M77" s="911"/>
      <c r="N77" s="911"/>
      <c r="O77" s="911"/>
      <c r="P77" s="911"/>
      <c r="Q77" s="911"/>
      <c r="R77" s="911"/>
      <c r="S77" s="911"/>
      <c r="T77" s="911"/>
      <c r="U77" s="911"/>
      <c r="V77" s="911"/>
      <c r="W77" s="911"/>
      <c r="X77" s="911"/>
      <c r="Y77" s="911"/>
      <c r="Z77" s="911"/>
      <c r="AA77" s="911"/>
      <c r="AB77" s="911"/>
      <c r="AC77" s="911"/>
      <c r="AD77" s="911"/>
      <c r="AE77" s="911"/>
      <c r="AF77" s="911"/>
      <c r="AG77" s="911"/>
      <c r="AH77" s="911"/>
      <c r="AI77" s="911"/>
      <c r="AJ77" s="911"/>
      <c r="AK77" s="911"/>
      <c r="AL77" s="911"/>
      <c r="AM77" s="911"/>
      <c r="AN77" s="911"/>
      <c r="AO77" s="911"/>
      <c r="AP77" s="911"/>
      <c r="AQ77" s="911"/>
      <c r="AR77" s="911"/>
      <c r="AS77" s="911"/>
      <c r="AT77" s="911"/>
      <c r="AU77" s="911"/>
      <c r="AV77" s="911"/>
      <c r="AW77" s="911"/>
      <c r="AX77" s="911"/>
      <c r="AY77" s="911"/>
      <c r="AZ77" s="911"/>
      <c r="BA77" s="911"/>
      <c r="BB77" s="911"/>
      <c r="BC77" s="911"/>
      <c r="BD77" s="911"/>
      <c r="BE77" s="911"/>
      <c r="BF77" s="911"/>
      <c r="BG77" s="911"/>
      <c r="BH77" s="911"/>
      <c r="BI77" s="911"/>
      <c r="BJ77" s="911"/>
      <c r="BK77" s="911"/>
      <c r="BL77" s="911"/>
      <c r="BM77" s="911"/>
      <c r="BN77" s="911"/>
      <c r="BO77" s="911"/>
      <c r="BP77" s="911"/>
      <c r="BQ77" s="911"/>
      <c r="BR77" s="911"/>
      <c r="BS77" s="911"/>
      <c r="BT77" s="911"/>
      <c r="BU77" s="911"/>
      <c r="BV77" s="911"/>
      <c r="BW77" s="911"/>
      <c r="BX77" s="911"/>
      <c r="BY77" s="911"/>
      <c r="BZ77" s="702" t="s">
        <v>101</v>
      </c>
      <c r="CB77" s="829" t="s">
        <v>1292</v>
      </c>
      <c r="CC77" s="829"/>
      <c r="CD77" s="829"/>
      <c r="CE77" s="911"/>
      <c r="CF77" s="911"/>
      <c r="CG77" s="911"/>
      <c r="CH77" s="911"/>
      <c r="CI77" s="911"/>
      <c r="CJ77" s="911"/>
      <c r="CK77" s="911"/>
      <c r="CL77" s="911"/>
      <c r="CM77" s="911"/>
      <c r="CN77" s="911"/>
      <c r="CO77" s="911"/>
      <c r="CP77" s="911"/>
      <c r="CQ77" s="911"/>
      <c r="CR77" s="911"/>
      <c r="CS77" s="911"/>
      <c r="CT77" s="911"/>
      <c r="CU77" s="911"/>
      <c r="CV77" s="911"/>
      <c r="CW77" s="911"/>
      <c r="CX77" s="911"/>
      <c r="CY77" s="911"/>
      <c r="CZ77" s="911"/>
      <c r="DA77" s="911"/>
      <c r="DB77" s="911"/>
      <c r="DC77" s="911"/>
      <c r="DD77" s="911"/>
      <c r="DE77" s="911"/>
      <c r="DF77" s="911"/>
      <c r="DG77" s="911"/>
      <c r="DH77" s="911"/>
      <c r="DI77" s="911"/>
      <c r="DJ77" s="911"/>
      <c r="DK77" s="911"/>
      <c r="DL77" s="911"/>
      <c r="DM77" s="911"/>
      <c r="DN77" s="911"/>
      <c r="DO77" s="911"/>
      <c r="DP77" s="911"/>
      <c r="DQ77" s="911"/>
      <c r="DR77" s="911"/>
      <c r="DS77" s="911"/>
      <c r="DT77" s="911"/>
      <c r="DU77" s="911"/>
      <c r="DV77" s="911"/>
      <c r="DW77" s="911"/>
      <c r="DX77" s="911"/>
      <c r="DY77" s="911"/>
      <c r="DZ77" s="911"/>
      <c r="EA77" s="911"/>
      <c r="EB77" s="911"/>
      <c r="EC77" s="911"/>
      <c r="ED77" s="911"/>
      <c r="EE77" s="911"/>
      <c r="EF77" s="911"/>
      <c r="EG77" s="911"/>
      <c r="EH77" s="911"/>
      <c r="EI77" s="911"/>
      <c r="EJ77" s="911"/>
      <c r="EK77" s="911"/>
      <c r="EL77" s="911"/>
      <c r="EM77" s="911"/>
      <c r="EN77" s="911"/>
    </row>
    <row r="78" ht="21.0" customHeight="1">
      <c r="A78" s="813"/>
      <c r="B78" s="938" t="s">
        <v>246</v>
      </c>
      <c r="C78" s="911"/>
      <c r="D78" s="911"/>
      <c r="E78" s="911"/>
      <c r="F78" s="911"/>
      <c r="G78" s="911"/>
      <c r="H78" s="911"/>
      <c r="I78" s="911"/>
      <c r="J78" s="911"/>
      <c r="K78" s="911"/>
      <c r="L78" s="911"/>
      <c r="M78" s="911"/>
      <c r="N78" s="911"/>
      <c r="O78" s="911"/>
      <c r="P78" s="911"/>
      <c r="Q78" s="911"/>
      <c r="R78" s="911"/>
      <c r="S78" s="911"/>
      <c r="T78" s="911"/>
      <c r="U78" s="911"/>
      <c r="V78" s="911"/>
      <c r="W78" s="911"/>
      <c r="X78" s="911"/>
      <c r="Y78" s="911"/>
      <c r="Z78" s="911"/>
      <c r="AA78" s="911"/>
      <c r="AB78" s="911"/>
      <c r="AC78" s="911"/>
      <c r="AD78" s="911"/>
      <c r="AE78" s="911"/>
      <c r="AF78" s="911"/>
      <c r="AG78" s="911"/>
      <c r="AH78" s="911"/>
      <c r="AI78" s="911"/>
      <c r="AJ78" s="911"/>
      <c r="AK78" s="911"/>
      <c r="AL78" s="911"/>
      <c r="AM78" s="911"/>
      <c r="AN78" s="911"/>
      <c r="AO78" s="911"/>
      <c r="AP78" s="911"/>
      <c r="AQ78" s="911"/>
      <c r="AR78" s="911"/>
      <c r="AS78" s="911"/>
      <c r="AT78" s="911"/>
      <c r="AU78" s="911"/>
      <c r="AV78" s="911"/>
      <c r="AW78" s="911"/>
      <c r="AX78" s="911"/>
      <c r="AY78" s="911"/>
      <c r="AZ78" s="911"/>
      <c r="BA78" s="911"/>
      <c r="BB78" s="911"/>
      <c r="BC78" s="911"/>
      <c r="BD78" s="911"/>
      <c r="BE78" s="911"/>
      <c r="BF78" s="911"/>
      <c r="BG78" s="911"/>
      <c r="BH78" s="911"/>
      <c r="BI78" s="911"/>
      <c r="BJ78" s="911"/>
      <c r="BK78" s="911"/>
      <c r="BL78" s="911"/>
      <c r="BM78" s="911"/>
      <c r="BN78" s="911"/>
      <c r="BO78" s="911"/>
      <c r="BP78" s="911"/>
      <c r="BQ78" s="911"/>
      <c r="BR78" s="911"/>
      <c r="BS78" s="911"/>
      <c r="BT78" s="911"/>
      <c r="BU78" s="911"/>
      <c r="BV78" s="911"/>
      <c r="BW78" s="911"/>
      <c r="BX78" s="911"/>
      <c r="BY78" s="911"/>
      <c r="BZ78" s="911"/>
      <c r="CA78" s="911"/>
      <c r="CB78" s="939" t="s">
        <v>195</v>
      </c>
      <c r="CI78" s="829" t="s">
        <v>1224</v>
      </c>
      <c r="CJ78" s="911"/>
      <c r="CK78" s="911"/>
      <c r="CL78" s="911"/>
      <c r="CM78" s="911"/>
      <c r="CN78" s="911"/>
      <c r="CO78" s="911"/>
      <c r="CP78" s="911"/>
      <c r="CQ78" s="911"/>
      <c r="CR78" s="911"/>
      <c r="CS78" s="911"/>
      <c r="CT78" s="911"/>
      <c r="CU78" s="911"/>
      <c r="CV78" s="911"/>
      <c r="CW78" s="911"/>
      <c r="CX78" s="911"/>
      <c r="CY78" s="911"/>
      <c r="CZ78" s="911"/>
      <c r="DA78" s="911"/>
      <c r="DB78" s="911"/>
      <c r="DC78" s="911"/>
      <c r="DD78" s="911"/>
      <c r="DE78" s="911"/>
      <c r="DF78" s="911"/>
      <c r="DG78" s="911"/>
      <c r="DH78" s="911"/>
      <c r="DI78" s="911"/>
      <c r="DJ78" s="911"/>
      <c r="DK78" s="911"/>
      <c r="DL78" s="911"/>
      <c r="DM78" s="911"/>
      <c r="DN78" s="911"/>
      <c r="DO78" s="911"/>
      <c r="DP78" s="911"/>
      <c r="DQ78" s="911"/>
      <c r="DR78" s="911"/>
      <c r="DS78" s="911"/>
      <c r="DT78" s="911"/>
      <c r="DU78" s="911"/>
      <c r="DV78" s="911"/>
      <c r="DW78" s="911"/>
      <c r="DX78" s="911"/>
      <c r="DY78" s="911"/>
      <c r="DZ78" s="911"/>
      <c r="EA78" s="911"/>
      <c r="EB78" s="911"/>
      <c r="EC78" s="911"/>
      <c r="ED78" s="911"/>
      <c r="EE78" s="911"/>
      <c r="EF78" s="911"/>
      <c r="EG78" s="911"/>
      <c r="EH78" s="911"/>
      <c r="EI78" s="911"/>
      <c r="EJ78" s="911"/>
      <c r="EK78" s="911"/>
      <c r="EL78" s="911"/>
      <c r="EM78" s="911"/>
      <c r="EN78" s="911"/>
    </row>
    <row r="79" ht="21.0" customHeight="1">
      <c r="A79" s="813"/>
      <c r="B79" s="940" t="s">
        <v>1293</v>
      </c>
      <c r="C79" s="911"/>
      <c r="D79" s="911"/>
      <c r="E79" s="911"/>
      <c r="F79" s="911"/>
      <c r="G79" s="911"/>
      <c r="H79" s="911"/>
      <c r="I79" s="911"/>
      <c r="J79" s="911"/>
      <c r="K79" s="911"/>
      <c r="L79" s="911"/>
      <c r="M79" s="911"/>
      <c r="N79" s="911"/>
      <c r="O79" s="911"/>
      <c r="P79" s="911"/>
      <c r="Q79" s="911"/>
      <c r="R79" s="911"/>
      <c r="S79" s="911"/>
      <c r="T79" s="911"/>
      <c r="U79" s="911"/>
      <c r="V79" s="911"/>
      <c r="W79" s="911"/>
      <c r="X79" s="911"/>
      <c r="Y79" s="911"/>
      <c r="Z79" s="911"/>
      <c r="AA79" s="911"/>
      <c r="AB79" s="911"/>
      <c r="AC79" s="911"/>
      <c r="AD79" s="911"/>
      <c r="AE79" s="911"/>
      <c r="AF79" s="911"/>
      <c r="AG79" s="911"/>
      <c r="AH79" s="911"/>
      <c r="AI79" s="911"/>
      <c r="AJ79" s="911"/>
      <c r="AK79" s="911"/>
      <c r="AL79" s="911"/>
      <c r="AM79" s="911"/>
      <c r="AN79" s="911"/>
      <c r="AO79" s="911"/>
      <c r="AP79" s="911"/>
      <c r="AQ79" s="911"/>
      <c r="AR79" s="911"/>
      <c r="AS79" s="911"/>
      <c r="AT79" s="911"/>
      <c r="AU79" s="911"/>
      <c r="AV79" s="911"/>
      <c r="AW79" s="911"/>
      <c r="AX79" s="911"/>
      <c r="AY79" s="911"/>
      <c r="AZ79" s="911"/>
      <c r="BA79" s="911"/>
      <c r="BB79" s="911"/>
      <c r="BC79" s="911"/>
      <c r="BD79" s="911"/>
      <c r="BE79" s="911"/>
      <c r="BF79" s="911"/>
      <c r="BG79" s="911"/>
      <c r="BH79" s="911"/>
      <c r="BI79" s="911"/>
      <c r="BJ79" s="911"/>
      <c r="BK79" s="911"/>
      <c r="BL79" s="911"/>
      <c r="BM79" s="911"/>
      <c r="BN79" s="911"/>
      <c r="BO79" s="911"/>
      <c r="BP79" s="911"/>
      <c r="BQ79" s="911"/>
      <c r="BR79" s="911"/>
      <c r="BS79" s="911"/>
      <c r="BT79" s="911"/>
      <c r="BU79" s="911"/>
      <c r="BV79" s="911"/>
      <c r="BW79" s="911"/>
      <c r="BX79" s="911"/>
      <c r="BY79" s="911"/>
      <c r="BZ79" s="911"/>
      <c r="CA79" s="911"/>
      <c r="CB79" s="911"/>
      <c r="CC79" s="911"/>
      <c r="CD79" s="911"/>
      <c r="CE79" s="911"/>
      <c r="CF79" s="911"/>
      <c r="CG79" s="815" t="s">
        <v>1294</v>
      </c>
      <c r="CH79" s="941" t="s">
        <v>326</v>
      </c>
      <c r="CK79" s="829" t="s">
        <v>1295</v>
      </c>
      <c r="CL79" s="911"/>
      <c r="CM79" s="911"/>
      <c r="CN79" s="911"/>
      <c r="CO79" s="911"/>
      <c r="CP79" s="911"/>
      <c r="CQ79" s="911"/>
      <c r="CR79" s="911"/>
      <c r="CS79" s="911"/>
      <c r="CT79" s="911"/>
      <c r="CU79" s="911"/>
      <c r="CV79" s="911"/>
      <c r="CW79" s="911"/>
      <c r="CX79" s="911"/>
      <c r="CY79" s="911"/>
      <c r="CZ79" s="911"/>
      <c r="DA79" s="911"/>
      <c r="DB79" s="911"/>
      <c r="DC79" s="911"/>
      <c r="DD79" s="911"/>
      <c r="DE79" s="911"/>
      <c r="DF79" s="911"/>
      <c r="DG79" s="911"/>
      <c r="DH79" s="911"/>
      <c r="DI79" s="911"/>
      <c r="DJ79" s="911"/>
      <c r="DK79" s="911"/>
      <c r="DL79" s="911"/>
      <c r="DM79" s="911"/>
      <c r="DN79" s="911"/>
      <c r="DO79" s="911"/>
      <c r="DP79" s="911"/>
      <c r="DQ79" s="911"/>
      <c r="DR79" s="911"/>
      <c r="DS79" s="911"/>
      <c r="DT79" s="911"/>
      <c r="DU79" s="911"/>
      <c r="DV79" s="911"/>
      <c r="DW79" s="911"/>
      <c r="DX79" s="911"/>
      <c r="DY79" s="911"/>
      <c r="DZ79" s="911"/>
      <c r="EA79" s="911"/>
      <c r="EB79" s="911"/>
      <c r="EC79" s="911"/>
      <c r="ED79" s="911"/>
      <c r="EE79" s="911"/>
      <c r="EF79" s="911"/>
      <c r="EG79" s="911"/>
      <c r="EH79" s="911"/>
      <c r="EI79" s="911"/>
      <c r="EJ79" s="911"/>
      <c r="EK79" s="911"/>
      <c r="EL79" s="911"/>
      <c r="EM79" s="911"/>
      <c r="EN79" s="911"/>
    </row>
    <row r="80" ht="21.0" customHeight="1">
      <c r="A80" s="813"/>
      <c r="B80" s="942" t="s">
        <v>305</v>
      </c>
      <c r="C80" s="911"/>
      <c r="D80" s="911"/>
      <c r="E80" s="911"/>
      <c r="F80" s="911"/>
      <c r="G80" s="911"/>
      <c r="H80" s="911"/>
      <c r="I80" s="911"/>
      <c r="J80" s="911"/>
      <c r="K80" s="911"/>
      <c r="L80" s="911"/>
      <c r="M80" s="911"/>
      <c r="N80" s="911"/>
      <c r="O80" s="911"/>
      <c r="P80" s="911"/>
      <c r="Q80" s="911"/>
      <c r="R80" s="911"/>
      <c r="S80" s="911"/>
      <c r="T80" s="911"/>
      <c r="U80" s="911"/>
      <c r="V80" s="911"/>
      <c r="W80" s="911"/>
      <c r="X80" s="911"/>
      <c r="Y80" s="911"/>
      <c r="Z80" s="911"/>
      <c r="AA80" s="911"/>
      <c r="AB80" s="911"/>
      <c r="AC80" s="911"/>
      <c r="AD80" s="911"/>
      <c r="AE80" s="911"/>
      <c r="AF80" s="911"/>
      <c r="AG80" s="911"/>
      <c r="AH80" s="911"/>
      <c r="AI80" s="911"/>
      <c r="AJ80" s="911"/>
      <c r="AK80" s="911"/>
      <c r="AL80" s="911"/>
      <c r="AM80" s="911"/>
      <c r="AN80" s="911"/>
      <c r="AO80" s="911"/>
      <c r="AP80" s="911"/>
      <c r="AQ80" s="911"/>
      <c r="AR80" s="911"/>
      <c r="AS80" s="911"/>
      <c r="AT80" s="911"/>
      <c r="AU80" s="911"/>
      <c r="AV80" s="911"/>
      <c r="AW80" s="911"/>
      <c r="AX80" s="911"/>
      <c r="AY80" s="911"/>
      <c r="AZ80" s="911"/>
      <c r="BA80" s="911"/>
      <c r="BB80" s="911"/>
      <c r="BC80" s="911"/>
      <c r="BD80" s="911"/>
      <c r="BE80" s="911"/>
      <c r="BF80" s="911"/>
      <c r="BG80" s="911"/>
      <c r="BH80" s="911"/>
      <c r="BI80" s="911"/>
      <c r="BJ80" s="911"/>
      <c r="BK80" s="911"/>
      <c r="BL80" s="911"/>
      <c r="BM80" s="911"/>
      <c r="BN80" s="911"/>
      <c r="BO80" s="911"/>
      <c r="BP80" s="911"/>
      <c r="BQ80" s="911"/>
      <c r="BR80" s="911"/>
      <c r="BS80" s="911"/>
      <c r="BT80" s="911"/>
      <c r="BU80" s="911"/>
      <c r="BV80" s="911"/>
      <c r="BW80" s="911"/>
      <c r="BX80" s="911"/>
      <c r="BY80" s="911"/>
      <c r="BZ80" s="911"/>
      <c r="CA80" s="911"/>
      <c r="CB80" s="911"/>
      <c r="CC80" s="911"/>
      <c r="CD80" s="911"/>
      <c r="CE80" s="911"/>
      <c r="CF80" s="911"/>
      <c r="CG80" s="943" t="s">
        <v>1296</v>
      </c>
      <c r="CL80" s="829" t="s">
        <v>1297</v>
      </c>
      <c r="CM80" s="911"/>
      <c r="CN80" s="911"/>
      <c r="CO80" s="911"/>
      <c r="CP80" s="911"/>
      <c r="CQ80" s="911"/>
      <c r="CR80" s="911"/>
      <c r="CS80" s="911"/>
      <c r="CT80" s="911"/>
      <c r="CU80" s="911"/>
      <c r="CV80" s="911"/>
      <c r="CW80" s="911"/>
      <c r="CX80" s="911"/>
      <c r="CY80" s="911"/>
      <c r="CZ80" s="911"/>
      <c r="DA80" s="911"/>
      <c r="DB80" s="911"/>
      <c r="DC80" s="911"/>
      <c r="DD80" s="911"/>
      <c r="DE80" s="911"/>
      <c r="DF80" s="911"/>
      <c r="DG80" s="911"/>
      <c r="DH80" s="911"/>
      <c r="DI80" s="911"/>
      <c r="DJ80" s="911"/>
      <c r="DK80" s="911"/>
      <c r="DL80" s="911"/>
      <c r="DM80" s="911"/>
      <c r="DN80" s="911"/>
      <c r="DO80" s="911"/>
      <c r="DP80" s="911"/>
      <c r="DQ80" s="911"/>
      <c r="DR80" s="911"/>
      <c r="DS80" s="911"/>
      <c r="DT80" s="911"/>
      <c r="DU80" s="911"/>
      <c r="DV80" s="911"/>
      <c r="DW80" s="911"/>
      <c r="DX80" s="911"/>
      <c r="DY80" s="911"/>
      <c r="DZ80" s="911"/>
      <c r="EA80" s="911"/>
      <c r="EB80" s="911"/>
      <c r="EC80" s="911"/>
      <c r="ED80" s="911"/>
      <c r="EE80" s="911"/>
      <c r="EF80" s="911"/>
      <c r="EG80" s="911"/>
      <c r="EH80" s="911"/>
      <c r="EI80" s="911"/>
      <c r="EJ80" s="911"/>
      <c r="EK80" s="911"/>
      <c r="EL80" s="911"/>
      <c r="EM80" s="911"/>
      <c r="EN80" s="911"/>
    </row>
    <row r="81" ht="21.0" customHeight="1">
      <c r="A81" s="813"/>
      <c r="B81" s="944" t="s">
        <v>311</v>
      </c>
      <c r="C81" s="911"/>
      <c r="D81" s="911"/>
      <c r="E81" s="911"/>
      <c r="F81" s="911"/>
      <c r="G81" s="911"/>
      <c r="H81" s="911"/>
      <c r="I81" s="911"/>
      <c r="J81" s="911"/>
      <c r="K81" s="911"/>
      <c r="L81" s="911"/>
      <c r="M81" s="911"/>
      <c r="N81" s="911"/>
      <c r="O81" s="911"/>
      <c r="P81" s="911"/>
      <c r="Q81" s="911"/>
      <c r="R81" s="911"/>
      <c r="S81" s="911"/>
      <c r="T81" s="911"/>
      <c r="U81" s="911"/>
      <c r="V81" s="911"/>
      <c r="W81" s="911"/>
      <c r="X81" s="911"/>
      <c r="Y81" s="911"/>
      <c r="Z81" s="911"/>
      <c r="AA81" s="911"/>
      <c r="AB81" s="911"/>
      <c r="AC81" s="911"/>
      <c r="AD81" s="911"/>
      <c r="AE81" s="911"/>
      <c r="AF81" s="911"/>
      <c r="AG81" s="911"/>
      <c r="AH81" s="911"/>
      <c r="AI81" s="911"/>
      <c r="AJ81" s="911"/>
      <c r="AK81" s="911"/>
      <c r="AL81" s="911"/>
      <c r="AM81" s="911"/>
      <c r="AN81" s="911"/>
      <c r="AO81" s="911"/>
      <c r="AP81" s="911"/>
      <c r="AQ81" s="911"/>
      <c r="AR81" s="911"/>
      <c r="AS81" s="911"/>
      <c r="AT81" s="911"/>
      <c r="AU81" s="911"/>
      <c r="AV81" s="911"/>
      <c r="AW81" s="911"/>
      <c r="AX81" s="911"/>
      <c r="AY81" s="911"/>
      <c r="AZ81" s="911"/>
      <c r="BA81" s="911"/>
      <c r="BB81" s="911"/>
      <c r="BC81" s="911"/>
      <c r="BD81" s="911"/>
      <c r="BE81" s="911"/>
      <c r="BF81" s="911"/>
      <c r="BG81" s="911"/>
      <c r="BH81" s="911"/>
      <c r="BI81" s="714"/>
      <c r="BJ81" s="714"/>
      <c r="BK81" s="714"/>
      <c r="BL81" s="714"/>
      <c r="BM81" s="714"/>
      <c r="BN81" s="714"/>
      <c r="BO81" s="714"/>
      <c r="BP81" s="714"/>
      <c r="BQ81" s="714"/>
      <c r="BR81" s="714"/>
      <c r="BS81" s="714"/>
      <c r="BT81" s="714"/>
      <c r="BU81" s="815"/>
      <c r="BV81" s="714"/>
      <c r="BW81" s="714"/>
      <c r="BX81" s="815"/>
      <c r="BY81" s="714"/>
      <c r="BZ81" s="815"/>
      <c r="CA81" s="945"/>
      <c r="CB81" s="945"/>
      <c r="CC81" s="945"/>
      <c r="CD81" s="945"/>
      <c r="CE81" s="945"/>
      <c r="CF81" s="945"/>
      <c r="CG81" s="945"/>
      <c r="CH81" s="945"/>
      <c r="CI81" s="945"/>
      <c r="CJ81" s="945"/>
      <c r="CK81" s="946" t="s">
        <v>1298</v>
      </c>
      <c r="CM81" s="947" t="s">
        <v>1299</v>
      </c>
      <c r="CN81" s="945"/>
      <c r="CO81" s="829"/>
      <c r="CP81" s="714"/>
      <c r="CQ81" s="714"/>
      <c r="CR81" s="714"/>
      <c r="CS81" s="714"/>
      <c r="CT81" s="714"/>
      <c r="CU81" s="714"/>
      <c r="CV81" s="714"/>
      <c r="CW81" s="714"/>
      <c r="CX81" s="714"/>
      <c r="CY81" s="714"/>
      <c r="CZ81" s="714"/>
      <c r="DA81" s="714"/>
      <c r="DB81" s="714"/>
      <c r="DC81" s="714"/>
      <c r="DD81" s="714"/>
      <c r="DE81" s="714"/>
      <c r="DF81" s="714"/>
      <c r="DG81" s="714"/>
      <c r="DH81" s="714"/>
      <c r="DI81" s="714"/>
      <c r="DJ81" s="714"/>
      <c r="DK81" s="714"/>
      <c r="DL81" s="714"/>
      <c r="DM81" s="714"/>
      <c r="DN81" s="714"/>
      <c r="DO81" s="714"/>
      <c r="DP81" s="714"/>
      <c r="DQ81" s="714"/>
      <c r="DR81" s="714"/>
      <c r="DS81" s="714"/>
      <c r="DT81" s="714"/>
      <c r="DU81" s="714"/>
      <c r="DV81" s="714"/>
      <c r="DW81" s="714"/>
      <c r="DX81" s="714"/>
      <c r="DY81" s="714"/>
      <c r="DZ81" s="714"/>
      <c r="EA81" s="714"/>
      <c r="EB81" s="714"/>
      <c r="EC81" s="714"/>
      <c r="ED81" s="714"/>
      <c r="EE81" s="714"/>
      <c r="EF81" s="714"/>
      <c r="EG81" s="714"/>
      <c r="EH81" s="714"/>
      <c r="EI81" s="714"/>
      <c r="EJ81" s="714"/>
      <c r="EK81" s="714"/>
      <c r="EL81" s="714"/>
      <c r="EM81" s="714"/>
      <c r="EN81" s="714"/>
    </row>
    <row r="82" ht="21.0" customHeight="1">
      <c r="A82" s="813"/>
      <c r="B82" s="948" t="s">
        <v>243</v>
      </c>
      <c r="C82" s="911"/>
      <c r="D82" s="911"/>
      <c r="E82" s="911"/>
      <c r="F82" s="911"/>
      <c r="G82" s="911"/>
      <c r="H82" s="911"/>
      <c r="I82" s="911"/>
      <c r="J82" s="911"/>
      <c r="K82" s="911"/>
      <c r="L82" s="911"/>
      <c r="M82" s="911"/>
      <c r="N82" s="911"/>
      <c r="O82" s="911"/>
      <c r="P82" s="911"/>
      <c r="Q82" s="911"/>
      <c r="R82" s="911"/>
      <c r="S82" s="911"/>
      <c r="T82" s="911"/>
      <c r="U82" s="911"/>
      <c r="V82" s="911"/>
      <c r="W82" s="911"/>
      <c r="X82" s="911"/>
      <c r="Y82" s="911"/>
      <c r="Z82" s="911"/>
      <c r="AA82" s="911"/>
      <c r="AB82" s="911"/>
      <c r="AC82" s="911"/>
      <c r="AD82" s="911"/>
      <c r="AE82" s="911"/>
      <c r="AF82" s="911"/>
      <c r="AG82" s="911"/>
      <c r="AH82" s="911"/>
      <c r="AI82" s="911"/>
      <c r="AJ82" s="911"/>
      <c r="AK82" s="911"/>
      <c r="AL82" s="911"/>
      <c r="AM82" s="911"/>
      <c r="AN82" s="911"/>
      <c r="AO82" s="911"/>
      <c r="AP82" s="911"/>
      <c r="AQ82" s="911"/>
      <c r="AR82" s="911"/>
      <c r="AS82" s="911"/>
      <c r="AT82" s="911"/>
      <c r="AU82" s="911"/>
      <c r="AV82" s="911"/>
      <c r="AW82" s="911"/>
      <c r="AX82" s="911"/>
      <c r="AY82" s="911"/>
      <c r="AZ82" s="911"/>
      <c r="BA82" s="911"/>
      <c r="BB82" s="911"/>
      <c r="BC82" s="911"/>
      <c r="BD82" s="911"/>
      <c r="BE82" s="911"/>
      <c r="BF82" s="911"/>
      <c r="BG82" s="911"/>
      <c r="BH82" s="911"/>
      <c r="BI82" s="714"/>
      <c r="BJ82" s="714"/>
      <c r="BK82" s="714"/>
      <c r="BL82" s="714"/>
      <c r="BM82" s="714"/>
      <c r="BN82" s="714"/>
      <c r="BO82" s="714"/>
      <c r="BP82" s="714"/>
      <c r="BQ82" s="714"/>
      <c r="BR82" s="714"/>
      <c r="BS82" s="714"/>
      <c r="BT82" s="714"/>
      <c r="BU82" s="815"/>
      <c r="BV82" s="714"/>
      <c r="BW82" s="714"/>
      <c r="BX82" s="815"/>
      <c r="BY82" s="714"/>
      <c r="BZ82" s="815" t="s">
        <v>1300</v>
      </c>
      <c r="CA82" s="747" t="s">
        <v>244</v>
      </c>
      <c r="CB82" s="135"/>
      <c r="CC82" s="949" t="s">
        <v>252</v>
      </c>
      <c r="CJ82" s="135"/>
      <c r="CK82" s="949" t="s">
        <v>326</v>
      </c>
      <c r="CL82" s="135"/>
      <c r="CM82" s="949" t="s">
        <v>206</v>
      </c>
      <c r="CO82" s="829" t="s">
        <v>1301</v>
      </c>
      <c r="CP82" s="714"/>
      <c r="CQ82" s="714"/>
      <c r="CR82" s="714"/>
      <c r="CS82" s="714"/>
      <c r="CT82" s="714"/>
      <c r="CU82" s="714"/>
      <c r="CV82" s="714"/>
      <c r="CW82" s="714"/>
      <c r="CX82" s="714"/>
      <c r="CY82" s="714"/>
      <c r="CZ82" s="714"/>
      <c r="DA82" s="714"/>
      <c r="DB82" s="714"/>
      <c r="DC82" s="714"/>
      <c r="DD82" s="714"/>
      <c r="DE82" s="714"/>
      <c r="DF82" s="714"/>
      <c r="DG82" s="714"/>
      <c r="DH82" s="714"/>
      <c r="DI82" s="714"/>
      <c r="DJ82" s="714"/>
      <c r="DK82" s="714"/>
      <c r="DL82" s="714"/>
      <c r="DM82" s="714"/>
      <c r="DN82" s="714"/>
      <c r="DO82" s="714"/>
      <c r="DP82" s="714"/>
      <c r="DQ82" s="714"/>
      <c r="DR82" s="714"/>
      <c r="DS82" s="714"/>
      <c r="DT82" s="714"/>
      <c r="DU82" s="714"/>
      <c r="DV82" s="714"/>
      <c r="DW82" s="714"/>
      <c r="DX82" s="714"/>
      <c r="DY82" s="714"/>
      <c r="DZ82" s="714"/>
      <c r="EA82" s="714"/>
      <c r="EB82" s="714"/>
      <c r="EC82" s="714"/>
      <c r="ED82" s="714"/>
      <c r="EE82" s="714"/>
      <c r="EF82" s="714"/>
      <c r="EG82" s="714"/>
      <c r="EH82" s="714"/>
      <c r="EI82" s="714"/>
      <c r="EJ82" s="714"/>
      <c r="EK82" s="714"/>
      <c r="EL82" s="714"/>
      <c r="EM82" s="714"/>
      <c r="EN82" s="714"/>
    </row>
    <row r="83" ht="21.0" customHeight="1">
      <c r="A83" s="813"/>
      <c r="B83" s="950" t="s">
        <v>348</v>
      </c>
      <c r="C83" s="951"/>
      <c r="D83" s="951"/>
      <c r="E83" s="951"/>
      <c r="F83" s="951"/>
      <c r="G83" s="951"/>
      <c r="H83" s="951"/>
      <c r="I83" s="951"/>
      <c r="J83" s="951"/>
      <c r="K83" s="951"/>
      <c r="L83" s="951"/>
      <c r="M83" s="951"/>
      <c r="N83" s="951"/>
      <c r="O83" s="951"/>
      <c r="P83" s="951"/>
      <c r="Q83" s="951"/>
      <c r="R83" s="951"/>
      <c r="S83" s="951"/>
      <c r="T83" s="951"/>
      <c r="U83" s="951"/>
      <c r="V83" s="951"/>
      <c r="W83" s="951"/>
      <c r="X83" s="951"/>
      <c r="Y83" s="951"/>
      <c r="Z83" s="951"/>
      <c r="AA83" s="951"/>
      <c r="AB83" s="951"/>
      <c r="AC83" s="951"/>
      <c r="AD83" s="951"/>
      <c r="AE83" s="951"/>
      <c r="AF83" s="951"/>
      <c r="AG83" s="951"/>
      <c r="AH83" s="951"/>
      <c r="AI83" s="951"/>
      <c r="AJ83" s="951"/>
      <c r="AK83" s="951"/>
      <c r="AL83" s="951"/>
      <c r="AM83" s="951"/>
      <c r="AN83" s="951"/>
      <c r="AO83" s="951"/>
      <c r="AP83" s="951"/>
      <c r="AQ83" s="951"/>
      <c r="AR83" s="951"/>
      <c r="AS83" s="951"/>
      <c r="AT83" s="951"/>
      <c r="AU83" s="951"/>
      <c r="AV83" s="951"/>
      <c r="AW83" s="951"/>
      <c r="AX83" s="951"/>
      <c r="AY83" s="951"/>
      <c r="AZ83" s="951"/>
      <c r="BA83" s="951"/>
      <c r="BB83" s="951"/>
      <c r="BC83" s="951"/>
      <c r="BD83" s="951"/>
      <c r="BE83" s="951"/>
      <c r="BF83" s="951"/>
      <c r="BG83" s="951"/>
      <c r="BH83" s="951"/>
      <c r="BI83" s="951"/>
      <c r="BJ83" s="951"/>
      <c r="BK83" s="951"/>
      <c r="BL83" s="911"/>
      <c r="BM83" s="911"/>
      <c r="BN83" s="911"/>
      <c r="BO83" s="911"/>
      <c r="BP83" s="714"/>
      <c r="BQ83" s="714"/>
      <c r="BR83" s="714"/>
      <c r="BS83" s="714"/>
      <c r="BT83" s="714"/>
      <c r="BU83" s="714"/>
      <c r="BV83" s="714"/>
      <c r="BW83" s="714"/>
      <c r="BX83" s="714"/>
      <c r="BY83" s="714"/>
      <c r="BZ83" s="714"/>
      <c r="CA83" s="714"/>
      <c r="CB83" s="714"/>
      <c r="CC83" s="714"/>
      <c r="CD83" s="714"/>
      <c r="CE83" s="714"/>
      <c r="CF83" s="714"/>
      <c r="CG83" s="714"/>
      <c r="CH83" s="714"/>
      <c r="CI83" s="714"/>
      <c r="CJ83" s="714"/>
      <c r="CK83" s="714"/>
      <c r="CL83" s="714"/>
      <c r="CM83" s="714"/>
      <c r="CN83" s="815" t="s">
        <v>1302</v>
      </c>
      <c r="CO83" s="347" t="s">
        <v>1112</v>
      </c>
      <c r="CQ83" s="829" t="s">
        <v>1297</v>
      </c>
      <c r="CR83" s="829"/>
      <c r="CS83" s="714"/>
      <c r="CT83" s="714"/>
      <c r="CU83" s="714"/>
      <c r="CV83" s="714"/>
      <c r="CW83" s="714"/>
      <c r="CX83" s="714"/>
      <c r="CY83" s="714"/>
      <c r="CZ83" s="714"/>
      <c r="DA83" s="714"/>
      <c r="DB83" s="714"/>
      <c r="DC83" s="714"/>
      <c r="DD83" s="714"/>
      <c r="DE83" s="714"/>
      <c r="DF83" s="714"/>
      <c r="DG83" s="714"/>
      <c r="DH83" s="714"/>
      <c r="DI83" s="714"/>
      <c r="DJ83" s="714"/>
      <c r="DK83" s="714"/>
      <c r="DL83" s="714"/>
      <c r="DM83" s="714"/>
      <c r="DN83" s="714"/>
      <c r="DO83" s="714"/>
      <c r="DP83" s="714"/>
      <c r="DQ83" s="714"/>
      <c r="DR83" s="714"/>
      <c r="DS83" s="714"/>
      <c r="DT83" s="714"/>
      <c r="DU83" s="714"/>
      <c r="DV83" s="714"/>
      <c r="DW83" s="714"/>
      <c r="DX83" s="714"/>
      <c r="DY83" s="714"/>
      <c r="DZ83" s="714"/>
      <c r="EA83" s="714"/>
      <c r="EB83" s="714"/>
      <c r="EC83" s="714"/>
      <c r="ED83" s="714"/>
      <c r="EE83" s="714"/>
      <c r="EF83" s="714"/>
      <c r="EG83" s="714"/>
      <c r="EH83" s="714"/>
      <c r="EI83" s="714"/>
      <c r="EJ83" s="714"/>
      <c r="EK83" s="714"/>
      <c r="EL83" s="714"/>
      <c r="EM83" s="714"/>
      <c r="EN83" s="714"/>
    </row>
    <row r="84" ht="21.0" customHeight="1">
      <c r="A84" s="813"/>
      <c r="B84" s="952" t="s">
        <v>1303</v>
      </c>
      <c r="C84" s="951"/>
      <c r="D84" s="951"/>
      <c r="E84" s="951"/>
      <c r="F84" s="951"/>
      <c r="G84" s="951"/>
      <c r="H84" s="951"/>
      <c r="I84" s="951"/>
      <c r="J84" s="951"/>
      <c r="K84" s="951"/>
      <c r="L84" s="951"/>
      <c r="M84" s="951"/>
      <c r="N84" s="951"/>
      <c r="O84" s="951"/>
      <c r="P84" s="951"/>
      <c r="Q84" s="951"/>
      <c r="R84" s="951"/>
      <c r="S84" s="951"/>
      <c r="T84" s="951"/>
      <c r="U84" s="951"/>
      <c r="V84" s="951"/>
      <c r="W84" s="951"/>
      <c r="X84" s="951"/>
      <c r="Y84" s="951"/>
      <c r="Z84" s="951"/>
      <c r="AA84" s="951"/>
      <c r="AB84" s="951"/>
      <c r="AC84" s="951"/>
      <c r="AD84" s="951"/>
      <c r="AE84" s="951"/>
      <c r="AF84" s="951"/>
      <c r="AG84" s="951"/>
      <c r="AH84" s="951"/>
      <c r="AI84" s="951"/>
      <c r="AJ84" s="951"/>
      <c r="AK84" s="951"/>
      <c r="AL84" s="951"/>
      <c r="AM84" s="951"/>
      <c r="AN84" s="951"/>
      <c r="AO84" s="951"/>
      <c r="AP84" s="951"/>
      <c r="AQ84" s="951"/>
      <c r="AR84" s="951"/>
      <c r="AS84" s="951"/>
      <c r="AT84" s="951"/>
      <c r="AU84" s="951"/>
      <c r="AV84" s="951"/>
      <c r="AW84" s="951"/>
      <c r="AX84" s="951"/>
      <c r="AY84" s="951"/>
      <c r="AZ84" s="951"/>
      <c r="BA84" s="951"/>
      <c r="BB84" s="951"/>
      <c r="BC84" s="951"/>
      <c r="BD84" s="951"/>
      <c r="BE84" s="951"/>
      <c r="BF84" s="951"/>
      <c r="BG84" s="951"/>
      <c r="BH84" s="951"/>
      <c r="BI84" s="951"/>
      <c r="BJ84" s="951"/>
      <c r="BK84" s="951"/>
      <c r="BL84" s="951"/>
      <c r="BM84" s="953" t="s">
        <v>1304</v>
      </c>
      <c r="BZ84" s="954" t="s">
        <v>1305</v>
      </c>
      <c r="CM84" s="954" t="s">
        <v>116</v>
      </c>
      <c r="CQ84" s="829" t="s">
        <v>1306</v>
      </c>
      <c r="CR84" s="829"/>
      <c r="CS84" s="829"/>
      <c r="CT84" s="829"/>
      <c r="CU84" s="829"/>
      <c r="CV84" s="829"/>
      <c r="CW84" s="714"/>
      <c r="CX84" s="714"/>
      <c r="CY84" s="714"/>
      <c r="CZ84" s="714"/>
      <c r="DA84" s="714"/>
      <c r="DB84" s="714"/>
      <c r="DC84" s="714"/>
      <c r="DD84" s="714"/>
      <c r="DE84" s="714"/>
      <c r="DF84" s="714"/>
      <c r="DG84" s="714"/>
      <c r="DH84" s="714"/>
      <c r="DI84" s="714"/>
      <c r="DJ84" s="714"/>
      <c r="DK84" s="714"/>
      <c r="DL84" s="714"/>
      <c r="DM84" s="714"/>
      <c r="DN84" s="714"/>
      <c r="DO84" s="714"/>
      <c r="DP84" s="714"/>
      <c r="DQ84" s="714"/>
      <c r="DR84" s="714"/>
      <c r="DS84" s="714"/>
      <c r="DT84" s="714"/>
      <c r="DU84" s="714"/>
      <c r="DV84" s="714"/>
      <c r="DW84" s="714"/>
      <c r="DX84" s="714"/>
      <c r="DY84" s="714"/>
      <c r="DZ84" s="714"/>
      <c r="EA84" s="714"/>
      <c r="EB84" s="714"/>
      <c r="EC84" s="714"/>
      <c r="ED84" s="714"/>
      <c r="EE84" s="714"/>
      <c r="EF84" s="714"/>
      <c r="EG84" s="714"/>
      <c r="EH84" s="714"/>
      <c r="EI84" s="714"/>
      <c r="EJ84" s="714"/>
      <c r="EK84" s="714"/>
      <c r="EL84" s="714"/>
      <c r="EM84" s="714"/>
      <c r="EN84" s="714"/>
    </row>
    <row r="85" ht="21.0" customHeight="1">
      <c r="A85" s="813"/>
      <c r="B85" s="955" t="s">
        <v>274</v>
      </c>
      <c r="C85" s="951"/>
      <c r="D85" s="951"/>
      <c r="E85" s="951"/>
      <c r="F85" s="951"/>
      <c r="G85" s="951"/>
      <c r="H85" s="951"/>
      <c r="I85" s="951"/>
      <c r="J85" s="951"/>
      <c r="K85" s="951"/>
      <c r="L85" s="951"/>
      <c r="M85" s="951"/>
      <c r="N85" s="951"/>
      <c r="O85" s="951"/>
      <c r="P85" s="951"/>
      <c r="Q85" s="951"/>
      <c r="R85" s="951"/>
      <c r="S85" s="951"/>
      <c r="T85" s="951"/>
      <c r="U85" s="951"/>
      <c r="V85" s="951"/>
      <c r="W85" s="951"/>
      <c r="X85" s="951"/>
      <c r="Y85" s="951"/>
      <c r="Z85" s="951"/>
      <c r="AA85" s="951"/>
      <c r="AB85" s="951"/>
      <c r="AC85" s="951"/>
      <c r="AD85" s="951"/>
      <c r="AE85" s="951"/>
      <c r="AF85" s="951"/>
      <c r="AG85" s="951"/>
      <c r="AH85" s="951"/>
      <c r="AI85" s="951"/>
      <c r="AJ85" s="951"/>
      <c r="AK85" s="951"/>
      <c r="AL85" s="951"/>
      <c r="AM85" s="951"/>
      <c r="AN85" s="951"/>
      <c r="AO85" s="951"/>
      <c r="AP85" s="951"/>
      <c r="AQ85" s="951"/>
      <c r="AR85" s="951"/>
      <c r="AS85" s="951"/>
      <c r="AT85" s="951"/>
      <c r="AU85" s="951"/>
      <c r="AV85" s="951"/>
      <c r="AW85" s="951"/>
      <c r="AX85" s="951"/>
      <c r="AY85" s="951"/>
      <c r="AZ85" s="951"/>
      <c r="BA85" s="951"/>
      <c r="BB85" s="951"/>
      <c r="BC85" s="951"/>
      <c r="BD85" s="951"/>
      <c r="BE85" s="951"/>
      <c r="BF85" s="951"/>
      <c r="BG85" s="951"/>
      <c r="BH85" s="951"/>
      <c r="BI85" s="951"/>
      <c r="BJ85" s="951"/>
      <c r="BK85" s="951"/>
      <c r="BL85" s="951"/>
      <c r="BM85" s="951"/>
      <c r="BN85" s="714"/>
      <c r="BO85" s="956"/>
      <c r="BP85" s="956"/>
      <c r="BQ85" s="956"/>
      <c r="BR85" s="956"/>
      <c r="BS85" s="956"/>
      <c r="BT85" s="956"/>
      <c r="BU85" s="956"/>
      <c r="BV85" s="956"/>
      <c r="BW85" s="956"/>
      <c r="BX85" s="956"/>
      <c r="BY85" s="815" t="s">
        <v>1307</v>
      </c>
      <c r="CB85" s="957" t="s">
        <v>101</v>
      </c>
      <c r="CQ85" s="829" t="s">
        <v>1308</v>
      </c>
      <c r="CR85" s="958"/>
      <c r="CS85" s="958"/>
      <c r="CT85" s="958"/>
      <c r="CU85" s="958"/>
      <c r="CV85" s="958"/>
      <c r="CW85" s="958"/>
      <c r="CX85" s="958"/>
      <c r="CY85" s="958"/>
      <c r="CZ85" s="958"/>
      <c r="DA85" s="958"/>
      <c r="DB85" s="958"/>
      <c r="DC85" s="958"/>
      <c r="DD85" s="958"/>
      <c r="DE85" s="958"/>
      <c r="DF85" s="958"/>
      <c r="DG85" s="958"/>
      <c r="DH85" s="958"/>
      <c r="DI85" s="958"/>
      <c r="DJ85" s="958"/>
      <c r="DK85" s="958"/>
      <c r="DL85" s="958"/>
      <c r="DM85" s="958"/>
      <c r="DN85" s="958"/>
      <c r="DO85" s="958"/>
      <c r="DP85" s="958"/>
      <c r="DQ85" s="958"/>
      <c r="DR85" s="958"/>
      <c r="DS85" s="958"/>
      <c r="DT85" s="958"/>
      <c r="DU85" s="958"/>
      <c r="DV85" s="958"/>
      <c r="DW85" s="958"/>
      <c r="DX85" s="958"/>
      <c r="DY85" s="958"/>
      <c r="DZ85" s="958"/>
      <c r="EA85" s="958"/>
      <c r="EB85" s="958"/>
      <c r="EC85" s="958"/>
      <c r="ED85" s="958"/>
      <c r="EE85" s="958"/>
      <c r="EF85" s="958"/>
      <c r="EG85" s="958"/>
      <c r="EH85" s="958"/>
      <c r="EI85" s="958"/>
      <c r="EJ85" s="958"/>
      <c r="EK85" s="958"/>
      <c r="EL85" s="958"/>
      <c r="EM85" s="958"/>
      <c r="EN85" s="958"/>
    </row>
    <row r="86" ht="21.0" customHeight="1">
      <c r="A86" s="813"/>
      <c r="B86" s="959" t="s">
        <v>258</v>
      </c>
      <c r="C86" s="951"/>
      <c r="D86" s="951"/>
      <c r="E86" s="951"/>
      <c r="F86" s="951"/>
      <c r="G86" s="951"/>
      <c r="H86" s="951"/>
      <c r="I86" s="951"/>
      <c r="J86" s="951"/>
      <c r="K86" s="951"/>
      <c r="L86" s="951"/>
      <c r="M86" s="951"/>
      <c r="N86" s="951"/>
      <c r="O86" s="951"/>
      <c r="P86" s="951"/>
      <c r="Q86" s="951"/>
      <c r="R86" s="951"/>
      <c r="S86" s="951"/>
      <c r="T86" s="951"/>
      <c r="U86" s="951"/>
      <c r="V86" s="951"/>
      <c r="W86" s="951"/>
      <c r="X86" s="951"/>
      <c r="Y86" s="951"/>
      <c r="Z86" s="951"/>
      <c r="AA86" s="951"/>
      <c r="AB86" s="951"/>
      <c r="AC86" s="951"/>
      <c r="AD86" s="951"/>
      <c r="AE86" s="951"/>
      <c r="AF86" s="951"/>
      <c r="AG86" s="951"/>
      <c r="AH86" s="951"/>
      <c r="AI86" s="951"/>
      <c r="AJ86" s="951"/>
      <c r="AK86" s="951"/>
      <c r="AL86" s="951"/>
      <c r="AM86" s="951"/>
      <c r="AN86" s="951"/>
      <c r="AO86" s="951"/>
      <c r="AP86" s="951"/>
      <c r="AQ86" s="951"/>
      <c r="AR86" s="951"/>
      <c r="AS86" s="951"/>
      <c r="AT86" s="951"/>
      <c r="AU86" s="951"/>
      <c r="AV86" s="951"/>
      <c r="AW86" s="951"/>
      <c r="AX86" s="951"/>
      <c r="AY86" s="951"/>
      <c r="AZ86" s="951"/>
      <c r="BA86" s="951"/>
      <c r="BB86" s="951"/>
      <c r="BC86" s="951"/>
      <c r="BD86" s="951"/>
      <c r="BE86" s="951"/>
      <c r="BF86" s="951"/>
      <c r="BG86" s="951"/>
      <c r="BH86" s="951"/>
      <c r="BI86" s="951"/>
      <c r="BJ86" s="951"/>
      <c r="BK86" s="951"/>
      <c r="BL86" s="951"/>
      <c r="BM86" s="951"/>
      <c r="BN86" s="714"/>
      <c r="BO86" s="714"/>
      <c r="BP86" s="714"/>
      <c r="BQ86" s="714"/>
      <c r="BR86" s="714"/>
      <c r="BS86" s="714"/>
      <c r="BT86" s="714"/>
      <c r="BU86" s="714"/>
      <c r="BV86" s="714"/>
      <c r="BW86" s="714"/>
      <c r="BX86" s="714"/>
      <c r="BY86" s="815" t="s">
        <v>1294</v>
      </c>
      <c r="BZ86" s="960" t="s">
        <v>176</v>
      </c>
      <c r="CQ86" s="829" t="s">
        <v>1308</v>
      </c>
      <c r="CR86" s="958"/>
      <c r="CS86" s="958"/>
      <c r="CT86" s="958"/>
      <c r="CU86" s="958"/>
      <c r="CV86" s="958"/>
      <c r="CW86" s="958"/>
      <c r="CX86" s="958"/>
      <c r="CY86" s="958"/>
      <c r="CZ86" s="958"/>
      <c r="DA86" s="958"/>
      <c r="DB86" s="958"/>
      <c r="DC86" s="958"/>
      <c r="DD86" s="958"/>
      <c r="DE86" s="958"/>
      <c r="DF86" s="958"/>
      <c r="DG86" s="958"/>
      <c r="DH86" s="958"/>
      <c r="DI86" s="958"/>
      <c r="DJ86" s="958"/>
      <c r="DK86" s="958"/>
      <c r="DL86" s="958"/>
      <c r="DM86" s="958"/>
      <c r="DN86" s="958"/>
      <c r="DO86" s="958"/>
      <c r="DP86" s="958"/>
      <c r="DQ86" s="958"/>
      <c r="DR86" s="958"/>
      <c r="DS86" s="958"/>
      <c r="DT86" s="958"/>
      <c r="DU86" s="958"/>
      <c r="DV86" s="958"/>
      <c r="DW86" s="958"/>
      <c r="DX86" s="958"/>
      <c r="DY86" s="958"/>
      <c r="DZ86" s="958"/>
      <c r="EA86" s="958"/>
      <c r="EB86" s="958"/>
      <c r="EC86" s="958"/>
      <c r="ED86" s="958"/>
      <c r="EE86" s="958"/>
      <c r="EF86" s="958"/>
      <c r="EG86" s="958"/>
      <c r="EH86" s="958"/>
      <c r="EI86" s="958"/>
      <c r="EJ86" s="958"/>
      <c r="EK86" s="958"/>
      <c r="EL86" s="958"/>
      <c r="EM86" s="958"/>
      <c r="EN86" s="958"/>
    </row>
    <row r="87" ht="21.0" customHeight="1">
      <c r="A87" s="813"/>
      <c r="B87" s="961" t="s">
        <v>320</v>
      </c>
      <c r="C87" s="951"/>
      <c r="D87" s="951"/>
      <c r="E87" s="951"/>
      <c r="F87" s="951"/>
      <c r="G87" s="951"/>
      <c r="H87" s="951"/>
      <c r="I87" s="951"/>
      <c r="J87" s="951"/>
      <c r="K87" s="951"/>
      <c r="L87" s="951"/>
      <c r="M87" s="951"/>
      <c r="N87" s="951"/>
      <c r="O87" s="951"/>
      <c r="P87" s="951"/>
      <c r="Q87" s="951"/>
      <c r="R87" s="951"/>
      <c r="S87" s="951"/>
      <c r="T87" s="951"/>
      <c r="U87" s="951"/>
      <c r="V87" s="951"/>
      <c r="W87" s="951"/>
      <c r="X87" s="951"/>
      <c r="Y87" s="951"/>
      <c r="Z87" s="951"/>
      <c r="AA87" s="951"/>
      <c r="AB87" s="951"/>
      <c r="AC87" s="951"/>
      <c r="AD87" s="951"/>
      <c r="AE87" s="951"/>
      <c r="AF87" s="951"/>
      <c r="AG87" s="951"/>
      <c r="AH87" s="951"/>
      <c r="AI87" s="951"/>
      <c r="AJ87" s="951"/>
      <c r="AK87" s="951"/>
      <c r="AL87" s="951"/>
      <c r="AM87" s="951"/>
      <c r="AN87" s="951"/>
      <c r="AO87" s="951"/>
      <c r="AP87" s="951"/>
      <c r="AQ87" s="951"/>
      <c r="AR87" s="951"/>
      <c r="AS87" s="951"/>
      <c r="AT87" s="951"/>
      <c r="AU87" s="951"/>
      <c r="AV87" s="951"/>
      <c r="AW87" s="951"/>
      <c r="AX87" s="951"/>
      <c r="AY87" s="951"/>
      <c r="AZ87" s="951"/>
      <c r="BA87" s="951"/>
      <c r="BB87" s="951"/>
      <c r="BC87" s="951"/>
      <c r="BD87" s="951"/>
      <c r="BE87" s="951"/>
      <c r="BF87" s="951"/>
      <c r="BG87" s="951"/>
      <c r="BH87" s="951"/>
      <c r="BI87" s="951"/>
      <c r="BJ87" s="951"/>
      <c r="BK87" s="951"/>
      <c r="BL87" s="951"/>
      <c r="BM87" s="951"/>
      <c r="BN87" s="714"/>
      <c r="BO87" s="714"/>
      <c r="BP87" s="714"/>
      <c r="BQ87" s="714"/>
      <c r="BR87" s="714"/>
      <c r="BS87" s="714"/>
      <c r="BT87" s="714"/>
      <c r="BU87" s="714"/>
      <c r="BV87" s="714"/>
      <c r="BW87" s="714"/>
      <c r="BX87" s="714"/>
      <c r="BY87" s="815"/>
      <c r="BZ87" s="714"/>
      <c r="CA87" s="714"/>
      <c r="CB87" s="714"/>
      <c r="CC87" s="714"/>
      <c r="CD87" s="714"/>
      <c r="CE87" s="714"/>
      <c r="CF87" s="714"/>
      <c r="CG87" s="714"/>
      <c r="CH87" s="714"/>
      <c r="CI87" s="714"/>
      <c r="CJ87" s="714"/>
      <c r="CK87" s="815" t="s">
        <v>1309</v>
      </c>
      <c r="CL87" s="748" t="s">
        <v>260</v>
      </c>
      <c r="CP87" s="700"/>
      <c r="CQ87" s="748" t="s">
        <v>294</v>
      </c>
      <c r="CW87" s="829" t="s">
        <v>1224</v>
      </c>
      <c r="CX87" s="958"/>
      <c r="CY87" s="958"/>
      <c r="CZ87" s="958"/>
      <c r="DA87" s="958"/>
      <c r="DB87" s="958"/>
      <c r="DC87" s="958"/>
      <c r="DD87" s="958"/>
      <c r="DE87" s="958"/>
      <c r="DF87" s="958"/>
      <c r="DG87" s="958"/>
      <c r="DH87" s="958"/>
      <c r="DI87" s="958"/>
      <c r="DJ87" s="958"/>
      <c r="DK87" s="958"/>
      <c r="DL87" s="958"/>
      <c r="DM87" s="958"/>
      <c r="DN87" s="958"/>
      <c r="DO87" s="958"/>
      <c r="DP87" s="958"/>
      <c r="DQ87" s="958"/>
      <c r="DR87" s="958"/>
      <c r="DS87" s="958"/>
      <c r="DT87" s="958"/>
      <c r="DU87" s="958"/>
      <c r="DV87" s="958"/>
      <c r="DW87" s="958"/>
      <c r="DX87" s="958"/>
      <c r="DY87" s="958"/>
      <c r="DZ87" s="958"/>
      <c r="EA87" s="958"/>
      <c r="EB87" s="958"/>
      <c r="EC87" s="958"/>
      <c r="ED87" s="958"/>
      <c r="EE87" s="958"/>
      <c r="EF87" s="958"/>
      <c r="EG87" s="958"/>
      <c r="EH87" s="958"/>
      <c r="EI87" s="958"/>
      <c r="EJ87" s="958"/>
      <c r="EK87" s="958"/>
      <c r="EL87" s="958"/>
      <c r="EM87" s="958"/>
      <c r="EN87" s="958"/>
    </row>
    <row r="88" ht="21.0" customHeight="1">
      <c r="A88" s="813"/>
      <c r="B88" s="962" t="s">
        <v>214</v>
      </c>
      <c r="C88" s="951"/>
      <c r="D88" s="951"/>
      <c r="E88" s="951"/>
      <c r="F88" s="951"/>
      <c r="G88" s="951"/>
      <c r="H88" s="951"/>
      <c r="I88" s="951"/>
      <c r="J88" s="951"/>
      <c r="K88" s="951"/>
      <c r="L88" s="951"/>
      <c r="M88" s="951"/>
      <c r="N88" s="951"/>
      <c r="O88" s="951"/>
      <c r="P88" s="951"/>
      <c r="Q88" s="951"/>
      <c r="R88" s="951"/>
      <c r="S88" s="951"/>
      <c r="T88" s="951"/>
      <c r="U88" s="951"/>
      <c r="V88" s="951"/>
      <c r="W88" s="951"/>
      <c r="X88" s="951"/>
      <c r="Y88" s="951"/>
      <c r="Z88" s="951"/>
      <c r="AA88" s="951"/>
      <c r="AB88" s="951"/>
      <c r="AC88" s="951"/>
      <c r="AD88" s="951"/>
      <c r="AE88" s="951"/>
      <c r="AF88" s="951"/>
      <c r="AG88" s="951"/>
      <c r="AH88" s="951"/>
      <c r="AI88" s="951"/>
      <c r="AJ88" s="951"/>
      <c r="AK88" s="951"/>
      <c r="AL88" s="951"/>
      <c r="AM88" s="951"/>
      <c r="AN88" s="951"/>
      <c r="AO88" s="951"/>
      <c r="AP88" s="951"/>
      <c r="AQ88" s="951"/>
      <c r="AR88" s="951"/>
      <c r="AS88" s="951"/>
      <c r="AT88" s="951"/>
      <c r="AU88" s="951"/>
      <c r="AV88" s="951"/>
      <c r="AW88" s="951"/>
      <c r="AX88" s="951"/>
      <c r="AY88" s="951"/>
      <c r="AZ88" s="951"/>
      <c r="BA88" s="951"/>
      <c r="BB88" s="951"/>
      <c r="BC88" s="951"/>
      <c r="BD88" s="951"/>
      <c r="BE88" s="951"/>
      <c r="BF88" s="951"/>
      <c r="BG88" s="951"/>
      <c r="BH88" s="951"/>
      <c r="BI88" s="951"/>
      <c r="BJ88" s="951"/>
      <c r="BK88" s="951"/>
      <c r="BL88" s="951"/>
      <c r="BM88" s="951"/>
      <c r="BN88" s="714"/>
      <c r="BO88" s="714"/>
      <c r="BP88" s="714"/>
      <c r="BQ88" s="714"/>
      <c r="BR88" s="714"/>
      <c r="BS88" s="714"/>
      <c r="BT88" s="714"/>
      <c r="BU88" s="815" t="s">
        <v>1310</v>
      </c>
      <c r="BV88" s="732" t="s">
        <v>102</v>
      </c>
      <c r="CE88" s="733" t="s">
        <v>206</v>
      </c>
      <c r="CI88" s="733" t="s">
        <v>109</v>
      </c>
      <c r="CO88" s="733" t="s">
        <v>182</v>
      </c>
      <c r="DD88" s="829" t="s">
        <v>1311</v>
      </c>
      <c r="DE88" s="829"/>
      <c r="DF88" s="958"/>
      <c r="DG88" s="958"/>
      <c r="DH88" s="958"/>
      <c r="DI88" s="958"/>
      <c r="DJ88" s="958"/>
      <c r="DK88" s="958"/>
      <c r="DL88" s="958"/>
      <c r="DM88" s="958"/>
      <c r="DN88" s="958"/>
      <c r="DO88" s="958"/>
      <c r="DP88" s="958"/>
      <c r="DQ88" s="958"/>
      <c r="DR88" s="958"/>
      <c r="DS88" s="958"/>
      <c r="DT88" s="958"/>
      <c r="DU88" s="958"/>
      <c r="DV88" s="958"/>
      <c r="DW88" s="958"/>
      <c r="DX88" s="958"/>
      <c r="DY88" s="958"/>
      <c r="DZ88" s="958"/>
      <c r="EA88" s="958"/>
      <c r="EB88" s="958"/>
      <c r="EC88" s="958"/>
      <c r="ED88" s="958"/>
      <c r="EE88" s="958"/>
      <c r="EF88" s="958"/>
      <c r="EG88" s="958"/>
      <c r="EH88" s="958"/>
      <c r="EI88" s="958"/>
      <c r="EJ88" s="958"/>
      <c r="EK88" s="958"/>
      <c r="EL88" s="958"/>
      <c r="EM88" s="958"/>
      <c r="EN88" s="958"/>
    </row>
    <row r="89" ht="21.0" customHeight="1">
      <c r="A89" s="813"/>
      <c r="B89" s="963" t="s">
        <v>375</v>
      </c>
      <c r="C89" s="951"/>
      <c r="D89" s="951"/>
      <c r="E89" s="951"/>
      <c r="F89" s="951"/>
      <c r="G89" s="951"/>
      <c r="H89" s="951"/>
      <c r="I89" s="951"/>
      <c r="J89" s="951"/>
      <c r="K89" s="951"/>
      <c r="L89" s="951"/>
      <c r="M89" s="951"/>
      <c r="N89" s="951"/>
      <c r="O89" s="951"/>
      <c r="P89" s="951"/>
      <c r="Q89" s="951"/>
      <c r="R89" s="951"/>
      <c r="S89" s="951"/>
      <c r="T89" s="951"/>
      <c r="U89" s="951"/>
      <c r="V89" s="951"/>
      <c r="W89" s="951"/>
      <c r="X89" s="951"/>
      <c r="Y89" s="951"/>
      <c r="Z89" s="951"/>
      <c r="AA89" s="951"/>
      <c r="AB89" s="951"/>
      <c r="AC89" s="951"/>
      <c r="AD89" s="951"/>
      <c r="AE89" s="951"/>
      <c r="AF89" s="951"/>
      <c r="AG89" s="951"/>
      <c r="AH89" s="951"/>
      <c r="AI89" s="951"/>
      <c r="AJ89" s="951"/>
      <c r="AK89" s="951"/>
      <c r="AL89" s="951"/>
      <c r="AM89" s="951"/>
      <c r="AN89" s="951"/>
      <c r="AO89" s="951"/>
      <c r="AP89" s="951"/>
      <c r="AQ89" s="951"/>
      <c r="AR89" s="951"/>
      <c r="AS89" s="951"/>
      <c r="AT89" s="951"/>
      <c r="AU89" s="951"/>
      <c r="AV89" s="951"/>
      <c r="AW89" s="951"/>
      <c r="AX89" s="951"/>
      <c r="AY89" s="951"/>
      <c r="AZ89" s="951"/>
      <c r="BA89" s="951"/>
      <c r="BB89" s="951"/>
      <c r="BC89" s="951"/>
      <c r="BD89" s="951"/>
      <c r="BE89" s="951"/>
      <c r="BF89" s="951"/>
      <c r="BG89" s="951"/>
      <c r="BH89" s="951"/>
      <c r="BI89" s="951"/>
      <c r="BJ89" s="951"/>
      <c r="BK89" s="951"/>
      <c r="BL89" s="951"/>
      <c r="BM89" s="951"/>
      <c r="BN89" s="714"/>
      <c r="BO89" s="714"/>
      <c r="BP89" s="714"/>
      <c r="BQ89" s="714"/>
      <c r="BR89" s="714"/>
      <c r="BS89" s="714"/>
      <c r="BT89" s="714"/>
      <c r="BU89" s="714"/>
      <c r="BV89" s="714"/>
      <c r="BW89" s="714"/>
      <c r="BX89" s="714"/>
      <c r="BY89" s="815"/>
      <c r="BZ89" s="714"/>
      <c r="CA89" s="714"/>
      <c r="CB89" s="714"/>
      <c r="CC89" s="714"/>
      <c r="CD89" s="714"/>
      <c r="CE89" s="714"/>
      <c r="CF89" s="714"/>
      <c r="CG89" s="714"/>
      <c r="CH89" s="714"/>
      <c r="CI89" s="714"/>
      <c r="CJ89" s="714"/>
      <c r="CK89" s="714"/>
      <c r="CL89" s="714"/>
      <c r="CM89" s="714"/>
      <c r="CN89" s="714"/>
      <c r="CO89" s="735" t="s">
        <v>16</v>
      </c>
      <c r="DD89" s="829" t="s">
        <v>1312</v>
      </c>
      <c r="DE89" s="829"/>
      <c r="DF89" s="958"/>
      <c r="DG89" s="958"/>
      <c r="DH89" s="958"/>
      <c r="DI89" s="958"/>
      <c r="DJ89" s="958"/>
      <c r="DK89" s="958"/>
      <c r="DL89" s="958"/>
      <c r="DM89" s="958"/>
      <c r="DN89" s="958"/>
      <c r="DO89" s="958"/>
      <c r="DP89" s="958"/>
      <c r="DQ89" s="958"/>
      <c r="DR89" s="958"/>
      <c r="DS89" s="958"/>
      <c r="DT89" s="958"/>
      <c r="DU89" s="958"/>
      <c r="DV89" s="958"/>
      <c r="DW89" s="958"/>
      <c r="DX89" s="958"/>
      <c r="DY89" s="958"/>
      <c r="DZ89" s="958"/>
      <c r="EA89" s="958"/>
      <c r="EB89" s="958"/>
      <c r="EC89" s="958"/>
      <c r="ED89" s="958"/>
      <c r="EE89" s="958"/>
      <c r="EF89" s="958"/>
      <c r="EG89" s="958"/>
      <c r="EH89" s="958"/>
      <c r="EI89" s="958"/>
      <c r="EJ89" s="958"/>
      <c r="EK89" s="958"/>
      <c r="EL89" s="958"/>
      <c r="EM89" s="958"/>
      <c r="EN89" s="958"/>
    </row>
    <row r="90" ht="21.0" customHeight="1">
      <c r="A90" s="813"/>
      <c r="B90" s="964" t="s">
        <v>255</v>
      </c>
      <c r="C90" s="951"/>
      <c r="D90" s="951"/>
      <c r="E90" s="951"/>
      <c r="F90" s="951"/>
      <c r="G90" s="951"/>
      <c r="H90" s="951"/>
      <c r="I90" s="951"/>
      <c r="J90" s="951"/>
      <c r="K90" s="951"/>
      <c r="L90" s="951"/>
      <c r="M90" s="951"/>
      <c r="N90" s="951"/>
      <c r="O90" s="951"/>
      <c r="P90" s="951"/>
      <c r="Q90" s="951"/>
      <c r="R90" s="951"/>
      <c r="S90" s="951"/>
      <c r="T90" s="951"/>
      <c r="U90" s="951"/>
      <c r="V90" s="951"/>
      <c r="W90" s="951"/>
      <c r="X90" s="951"/>
      <c r="Y90" s="951"/>
      <c r="Z90" s="951"/>
      <c r="AA90" s="951"/>
      <c r="AB90" s="951"/>
      <c r="AC90" s="951"/>
      <c r="AD90" s="951"/>
      <c r="AE90" s="951"/>
      <c r="AF90" s="951"/>
      <c r="AG90" s="951"/>
      <c r="AH90" s="951"/>
      <c r="AI90" s="951"/>
      <c r="AJ90" s="951"/>
      <c r="AK90" s="951"/>
      <c r="AL90" s="951"/>
      <c r="AM90" s="951"/>
      <c r="AN90" s="951"/>
      <c r="AO90" s="951"/>
      <c r="AP90" s="951"/>
      <c r="AQ90" s="951"/>
      <c r="AR90" s="951"/>
      <c r="AS90" s="951"/>
      <c r="AT90" s="951"/>
      <c r="AU90" s="951"/>
      <c r="AV90" s="951"/>
      <c r="AW90" s="951"/>
      <c r="AX90" s="951"/>
      <c r="AY90" s="951"/>
      <c r="AZ90" s="951"/>
      <c r="BA90" s="951"/>
      <c r="BB90" s="951"/>
      <c r="BC90" s="951"/>
      <c r="BD90" s="951"/>
      <c r="BE90" s="951"/>
      <c r="BF90" s="951"/>
      <c r="BG90" s="951"/>
      <c r="BH90" s="951"/>
      <c r="BI90" s="951"/>
      <c r="BJ90" s="951"/>
      <c r="BK90" s="951"/>
      <c r="BL90" s="951"/>
      <c r="BM90" s="951"/>
      <c r="BN90" s="714"/>
      <c r="BO90" s="714"/>
      <c r="BP90" s="714"/>
      <c r="BQ90" s="714"/>
      <c r="BR90" s="714"/>
      <c r="BS90" s="714"/>
      <c r="BT90" s="714"/>
      <c r="BU90" s="714"/>
      <c r="BV90" s="714"/>
      <c r="BW90" s="714"/>
      <c r="BX90" s="815" t="s">
        <v>1313</v>
      </c>
      <c r="BY90" s="763" t="s">
        <v>1314</v>
      </c>
      <c r="CE90" s="965" t="s">
        <v>308</v>
      </c>
      <c r="CO90" s="965" t="s">
        <v>201</v>
      </c>
      <c r="DD90" s="829" t="s">
        <v>1308</v>
      </c>
      <c r="DE90" s="829"/>
      <c r="DF90" s="958"/>
      <c r="DG90" s="958"/>
      <c r="DH90" s="958"/>
      <c r="DI90" s="958"/>
      <c r="DJ90" s="958"/>
      <c r="DK90" s="958"/>
      <c r="DL90" s="958"/>
      <c r="DM90" s="958"/>
      <c r="DN90" s="958"/>
      <c r="DO90" s="958"/>
      <c r="DP90" s="958"/>
      <c r="DQ90" s="958"/>
      <c r="DR90" s="958"/>
      <c r="DS90" s="958"/>
      <c r="DT90" s="958"/>
      <c r="DU90" s="958"/>
      <c r="DV90" s="958"/>
      <c r="DW90" s="958"/>
      <c r="DX90" s="958"/>
      <c r="DY90" s="958"/>
      <c r="DZ90" s="958"/>
      <c r="EA90" s="958"/>
      <c r="EB90" s="958"/>
      <c r="EC90" s="958"/>
      <c r="ED90" s="958"/>
      <c r="EE90" s="958"/>
      <c r="EF90" s="958"/>
      <c r="EG90" s="958"/>
      <c r="EH90" s="958"/>
      <c r="EI90" s="958"/>
      <c r="EJ90" s="958"/>
      <c r="EK90" s="958"/>
      <c r="EL90" s="958"/>
      <c r="EM90" s="958"/>
      <c r="EN90" s="958"/>
    </row>
    <row r="91" ht="21.0" customHeight="1">
      <c r="A91" s="813"/>
      <c r="B91" s="946" t="s">
        <v>532</v>
      </c>
      <c r="C91" s="951"/>
      <c r="D91" s="951"/>
      <c r="E91" s="951"/>
      <c r="F91" s="951"/>
      <c r="G91" s="951"/>
      <c r="H91" s="951"/>
      <c r="I91" s="951"/>
      <c r="J91" s="951"/>
      <c r="K91" s="951"/>
      <c r="L91" s="951"/>
      <c r="M91" s="951"/>
      <c r="N91" s="951"/>
      <c r="O91" s="951"/>
      <c r="P91" s="951"/>
      <c r="Q91" s="951"/>
      <c r="R91" s="951"/>
      <c r="S91" s="951"/>
      <c r="T91" s="951"/>
      <c r="U91" s="951"/>
      <c r="V91" s="951"/>
      <c r="W91" s="951"/>
      <c r="X91" s="951"/>
      <c r="Y91" s="951"/>
      <c r="Z91" s="951"/>
      <c r="AA91" s="951"/>
      <c r="AB91" s="951"/>
      <c r="AC91" s="951"/>
      <c r="AD91" s="951"/>
      <c r="AE91" s="951"/>
      <c r="AF91" s="951"/>
      <c r="AG91" s="951"/>
      <c r="AH91" s="951"/>
      <c r="AI91" s="951"/>
      <c r="AJ91" s="951"/>
      <c r="AK91" s="951"/>
      <c r="AL91" s="951"/>
      <c r="AM91" s="951"/>
      <c r="AN91" s="951"/>
      <c r="AO91" s="951"/>
      <c r="AP91" s="951"/>
      <c r="AQ91" s="951"/>
      <c r="AR91" s="951"/>
      <c r="AS91" s="951"/>
      <c r="AT91" s="951"/>
      <c r="AU91" s="951"/>
      <c r="AV91" s="951"/>
      <c r="AW91" s="951"/>
      <c r="AX91" s="951"/>
      <c r="AY91" s="951"/>
      <c r="AZ91" s="951"/>
      <c r="BA91" s="951"/>
      <c r="BB91" s="951"/>
      <c r="BC91" s="951"/>
      <c r="BD91" s="951"/>
      <c r="BE91" s="951"/>
      <c r="BF91" s="951"/>
      <c r="BG91" s="951"/>
      <c r="BH91" s="951"/>
      <c r="BI91" s="951"/>
      <c r="BJ91" s="951"/>
      <c r="BK91" s="951"/>
      <c r="BL91" s="951"/>
      <c r="BM91" s="951"/>
      <c r="BN91" s="714"/>
      <c r="BO91" s="714"/>
      <c r="BP91" s="714"/>
      <c r="BQ91" s="714"/>
      <c r="BR91" s="714"/>
      <c r="BS91" s="714"/>
      <c r="BT91" s="714"/>
      <c r="BU91" s="714"/>
      <c r="BV91" s="714"/>
      <c r="BW91" s="714"/>
      <c r="BX91" s="815"/>
      <c r="BY91" s="767"/>
      <c r="BZ91" s="767"/>
      <c r="CA91" s="767"/>
      <c r="CB91" s="767"/>
      <c r="CC91" s="767"/>
      <c r="CD91" s="767"/>
      <c r="CE91" s="767"/>
      <c r="CF91" s="767"/>
      <c r="CG91" s="767"/>
      <c r="CH91" s="767"/>
      <c r="CI91" s="767"/>
      <c r="CJ91" s="767"/>
      <c r="CK91" s="767"/>
      <c r="CL91" s="767"/>
      <c r="CM91" s="767"/>
      <c r="CN91" s="767"/>
      <c r="CO91" s="767"/>
      <c r="CP91" s="767"/>
      <c r="CQ91" s="767"/>
      <c r="CR91" s="767"/>
      <c r="CS91" s="767"/>
      <c r="CT91" s="767"/>
      <c r="CU91" s="767"/>
      <c r="CV91" s="767"/>
      <c r="CW91" s="767"/>
      <c r="CX91" s="767"/>
      <c r="CY91" s="767"/>
      <c r="CZ91" s="767"/>
      <c r="DA91" s="767"/>
      <c r="DB91" s="767"/>
      <c r="DC91" s="767"/>
      <c r="DD91" s="829"/>
      <c r="DE91" s="829"/>
      <c r="DF91" s="958"/>
      <c r="DG91" s="958"/>
      <c r="DH91" s="958"/>
      <c r="DI91" s="958"/>
      <c r="DJ91" s="958"/>
      <c r="DK91" s="958"/>
      <c r="DL91" s="958"/>
      <c r="DM91" s="958"/>
      <c r="DN91" s="824"/>
      <c r="DO91" s="966" t="s">
        <v>1112</v>
      </c>
      <c r="DP91" s="967" t="s">
        <v>1315</v>
      </c>
      <c r="DQ91" s="958"/>
      <c r="DR91" s="958"/>
      <c r="DS91" s="958"/>
      <c r="DT91" s="958"/>
      <c r="DU91" s="958"/>
      <c r="DV91" s="958"/>
      <c r="DW91" s="958"/>
      <c r="DX91" s="958"/>
      <c r="DY91" s="958"/>
      <c r="DZ91" s="958"/>
      <c r="EA91" s="958"/>
      <c r="EB91" s="958"/>
      <c r="EC91" s="958"/>
      <c r="ED91" s="958"/>
      <c r="EE91" s="958"/>
      <c r="EF91" s="958"/>
      <c r="EG91" s="958"/>
      <c r="EH91" s="958"/>
      <c r="EI91" s="958"/>
      <c r="EJ91" s="958"/>
      <c r="EK91" s="958"/>
      <c r="EL91" s="958"/>
      <c r="EM91" s="958"/>
      <c r="EN91" s="958"/>
    </row>
    <row r="92" ht="21.0" customHeight="1">
      <c r="A92" s="968"/>
      <c r="B92" s="969" t="s">
        <v>115</v>
      </c>
      <c r="C92" s="951"/>
      <c r="D92" s="951"/>
      <c r="E92" s="951"/>
      <c r="F92" s="951"/>
      <c r="G92" s="951"/>
      <c r="H92" s="951"/>
      <c r="I92" s="951"/>
      <c r="J92" s="951"/>
      <c r="K92" s="951"/>
      <c r="L92" s="951"/>
      <c r="M92" s="951"/>
      <c r="N92" s="951"/>
      <c r="O92" s="951"/>
      <c r="P92" s="951"/>
      <c r="Q92" s="951"/>
      <c r="R92" s="951"/>
      <c r="S92" s="951"/>
      <c r="T92" s="951"/>
      <c r="U92" s="951"/>
      <c r="V92" s="951"/>
      <c r="W92" s="951"/>
      <c r="X92" s="951"/>
      <c r="Y92" s="951"/>
      <c r="Z92" s="951"/>
      <c r="AA92" s="951"/>
      <c r="AB92" s="951"/>
      <c r="AC92" s="951"/>
      <c r="AD92" s="951"/>
      <c r="AE92" s="951"/>
      <c r="AF92" s="951"/>
      <c r="AG92" s="951"/>
      <c r="AH92" s="951"/>
      <c r="AI92" s="951"/>
      <c r="AJ92" s="951"/>
      <c r="AK92" s="951"/>
      <c r="AL92" s="951"/>
      <c r="AM92" s="951"/>
      <c r="AN92" s="951"/>
      <c r="AO92" s="951"/>
      <c r="AP92" s="951"/>
      <c r="AQ92" s="951"/>
      <c r="AR92" s="951"/>
      <c r="AS92" s="951"/>
      <c r="AT92" s="951"/>
      <c r="AU92" s="951"/>
      <c r="AV92" s="951"/>
      <c r="AW92" s="951"/>
      <c r="AX92" s="951"/>
      <c r="AY92" s="951"/>
      <c r="AZ92" s="951"/>
      <c r="BA92" s="951"/>
      <c r="BB92" s="951"/>
      <c r="BC92" s="951"/>
      <c r="BD92" s="951"/>
      <c r="BE92" s="951"/>
      <c r="BF92" s="951"/>
      <c r="BG92" s="951"/>
      <c r="BH92" s="951"/>
      <c r="BI92" s="951"/>
      <c r="BJ92" s="951"/>
      <c r="BK92" s="951"/>
      <c r="BL92" s="951"/>
      <c r="BM92" s="951"/>
      <c r="BN92" s="714"/>
      <c r="BO92" s="714"/>
      <c r="BP92" s="714"/>
      <c r="BQ92" s="714"/>
      <c r="BR92" s="714"/>
      <c r="BS92" s="714"/>
      <c r="BT92" s="714"/>
      <c r="BU92" s="714"/>
      <c r="BV92" s="714"/>
      <c r="BW92" s="714"/>
      <c r="BX92" s="815"/>
      <c r="BY92" s="767"/>
      <c r="BZ92" s="767"/>
      <c r="CA92" s="767"/>
      <c r="CB92" s="767"/>
      <c r="CC92" s="767"/>
      <c r="CD92" s="767"/>
      <c r="CE92" s="767"/>
      <c r="CF92" s="767"/>
      <c r="CG92" s="767"/>
      <c r="CH92" s="767"/>
      <c r="CI92" s="767"/>
      <c r="CJ92" s="767"/>
      <c r="CK92" s="767"/>
      <c r="CL92" s="767"/>
      <c r="CM92" s="767"/>
      <c r="CN92" s="767"/>
      <c r="CO92" s="767"/>
      <c r="CP92" s="767"/>
      <c r="CQ92" s="803" t="s">
        <v>116</v>
      </c>
      <c r="DX92" s="958"/>
      <c r="DY92" s="958"/>
      <c r="DZ92" s="958"/>
      <c r="EA92" s="958"/>
      <c r="EB92" s="958"/>
      <c r="EC92" s="958"/>
      <c r="ED92" s="958"/>
      <c r="EE92" s="958"/>
      <c r="EF92" s="958"/>
      <c r="EG92" s="958"/>
      <c r="EH92" s="958"/>
      <c r="EI92" s="958"/>
      <c r="EJ92" s="958"/>
      <c r="EK92" s="958"/>
      <c r="EL92" s="958"/>
      <c r="EM92" s="958"/>
      <c r="EN92" s="958"/>
    </row>
  </sheetData>
  <mergeCells count="451">
    <mergeCell ref="CS3:CV3"/>
    <mergeCell ref="CW3:CX3"/>
    <mergeCell ref="CE5:CI5"/>
    <mergeCell ref="CJ5:CO5"/>
    <mergeCell ref="CQ5:CV5"/>
    <mergeCell ref="CW5:DE5"/>
    <mergeCell ref="CE6:CI6"/>
    <mergeCell ref="CJ6:CO6"/>
    <mergeCell ref="CQ6:CV6"/>
    <mergeCell ref="CW6:DE6"/>
    <mergeCell ref="CB3:CD3"/>
    <mergeCell ref="CE3:CF3"/>
    <mergeCell ref="CG3:CI3"/>
    <mergeCell ref="CJ3:CK3"/>
    <mergeCell ref="CL3:CM3"/>
    <mergeCell ref="CN3:CO3"/>
    <mergeCell ref="CQ3:CR3"/>
    <mergeCell ref="CY3:CZ3"/>
    <mergeCell ref="DA3:DB3"/>
    <mergeCell ref="DC3:DE3"/>
    <mergeCell ref="DG3:DH3"/>
    <mergeCell ref="DI3:DL3"/>
    <mergeCell ref="DM3:DP3"/>
    <mergeCell ref="DQ3:DT3"/>
    <mergeCell ref="DU3:DX3"/>
    <mergeCell ref="DY3:EB3"/>
    <mergeCell ref="DG6:DV6"/>
    <mergeCell ref="DG7:DI7"/>
    <mergeCell ref="CW8:DE8"/>
    <mergeCell ref="DG5:EA5"/>
    <mergeCell ref="DW6:EA6"/>
    <mergeCell ref="DW8:EA8"/>
    <mergeCell ref="DJ17:DP17"/>
    <mergeCell ref="DR17:DV17"/>
    <mergeCell ref="CS18:DF18"/>
    <mergeCell ref="DG18:DP18"/>
    <mergeCell ref="CW19:DF19"/>
    <mergeCell ref="DM11:DV11"/>
    <mergeCell ref="CW16:DH16"/>
    <mergeCell ref="DJ16:DO16"/>
    <mergeCell ref="CW17:DI17"/>
    <mergeCell ref="DL15:EA15"/>
    <mergeCell ref="DQ16:EA16"/>
    <mergeCell ref="DW17:EA17"/>
    <mergeCell ref="DG8:DV8"/>
    <mergeCell ref="DW9:EA9"/>
    <mergeCell ref="DW11:EA11"/>
    <mergeCell ref="CW9:DE9"/>
    <mergeCell ref="DG9:DV9"/>
    <mergeCell ref="CW10:DE10"/>
    <mergeCell ref="CZ11:DE11"/>
    <mergeCell ref="DG11:DL11"/>
    <mergeCell ref="CW12:DE12"/>
    <mergeCell ref="DG10:EA10"/>
    <mergeCell ref="DW12:EA12"/>
    <mergeCell ref="BL1:BP1"/>
    <mergeCell ref="BQ1:BX1"/>
    <mergeCell ref="BY1:CD1"/>
    <mergeCell ref="CE1:CM1"/>
    <mergeCell ref="CN1:CR1"/>
    <mergeCell ref="CS1:DB1"/>
    <mergeCell ref="DC1:DH1"/>
    <mergeCell ref="DI1:EN1"/>
    <mergeCell ref="AC1:AF1"/>
    <mergeCell ref="AG1:AL1"/>
    <mergeCell ref="AM1:AS1"/>
    <mergeCell ref="AT1:AV1"/>
    <mergeCell ref="AW1:BB1"/>
    <mergeCell ref="BC1:BE1"/>
    <mergeCell ref="BF1:BK1"/>
    <mergeCell ref="C2:L2"/>
    <mergeCell ref="M2:AE2"/>
    <mergeCell ref="AF2:AX2"/>
    <mergeCell ref="AY2:BR2"/>
    <mergeCell ref="BS2:CX2"/>
    <mergeCell ref="CY2:EN2"/>
    <mergeCell ref="F3:G3"/>
    <mergeCell ref="K3:L3"/>
    <mergeCell ref="Q3:R3"/>
    <mergeCell ref="S3:T3"/>
    <mergeCell ref="A1:B3"/>
    <mergeCell ref="D1:H1"/>
    <mergeCell ref="I1:L1"/>
    <mergeCell ref="M1:N1"/>
    <mergeCell ref="O1:R1"/>
    <mergeCell ref="S1:Y1"/>
    <mergeCell ref="Z1:AB1"/>
    <mergeCell ref="AC3:AD3"/>
    <mergeCell ref="EC3:EF3"/>
    <mergeCell ref="EG3:EJ3"/>
    <mergeCell ref="EK3:EN3"/>
    <mergeCell ref="U3:V3"/>
    <mergeCell ref="W3:X3"/>
    <mergeCell ref="AH3:AJ3"/>
    <mergeCell ref="AK3:AL3"/>
    <mergeCell ref="AM3:AN3"/>
    <mergeCell ref="AO3:AP3"/>
    <mergeCell ref="AQ3:AR3"/>
    <mergeCell ref="AJ8:AN8"/>
    <mergeCell ref="AO8:AR8"/>
    <mergeCell ref="AS9:AT9"/>
    <mergeCell ref="AV9:AW9"/>
    <mergeCell ref="AS10:AY10"/>
    <mergeCell ref="AS11:AU11"/>
    <mergeCell ref="AV11:AW11"/>
    <mergeCell ref="AX11:AY11"/>
    <mergeCell ref="AZ11:BD11"/>
    <mergeCell ref="BE11:BG11"/>
    <mergeCell ref="AB6:AD6"/>
    <mergeCell ref="AE6:AH6"/>
    <mergeCell ref="AJ6:AN6"/>
    <mergeCell ref="AO6:AR6"/>
    <mergeCell ref="AS6:AT6"/>
    <mergeCell ref="AU6:AU9"/>
    <mergeCell ref="AV6:AW6"/>
    <mergeCell ref="AO12:AU12"/>
    <mergeCell ref="AV12:AW12"/>
    <mergeCell ref="AX12:AY12"/>
    <mergeCell ref="AZ12:BD12"/>
    <mergeCell ref="BE12:BG12"/>
    <mergeCell ref="AZ13:BD13"/>
    <mergeCell ref="AJ9:AN9"/>
    <mergeCell ref="AO9:AR9"/>
    <mergeCell ref="AJ10:AN10"/>
    <mergeCell ref="AO10:AR10"/>
    <mergeCell ref="AK11:AN11"/>
    <mergeCell ref="AO11:AR11"/>
    <mergeCell ref="AJ12:AN12"/>
    <mergeCell ref="AZ8:BC8"/>
    <mergeCell ref="BF8:BG8"/>
    <mergeCell ref="AX9:AY9"/>
    <mergeCell ref="AZ9:BC9"/>
    <mergeCell ref="AZ10:BG10"/>
    <mergeCell ref="AX6:AY6"/>
    <mergeCell ref="AZ6:BC6"/>
    <mergeCell ref="BD6:BD9"/>
    <mergeCell ref="BF6:BG6"/>
    <mergeCell ref="CA6:CA9"/>
    <mergeCell ref="AX8:AY8"/>
    <mergeCell ref="BF9:BG9"/>
    <mergeCell ref="CQ10:CV10"/>
    <mergeCell ref="CR11:CV11"/>
    <mergeCell ref="CW11:CY11"/>
    <mergeCell ref="CQ12:CV12"/>
    <mergeCell ref="CB6:CD6"/>
    <mergeCell ref="CB9:CD9"/>
    <mergeCell ref="BW10:CD10"/>
    <mergeCell ref="CE10:CI10"/>
    <mergeCell ref="CJ10:CO10"/>
    <mergeCell ref="CE11:CI11"/>
    <mergeCell ref="CJ11:CO11"/>
    <mergeCell ref="DW26:EA26"/>
    <mergeCell ref="DL28:EA28"/>
    <mergeCell ref="DK25:EA25"/>
    <mergeCell ref="CJ12:CO12"/>
    <mergeCell ref="BL15:CS15"/>
    <mergeCell ref="CT15:DK15"/>
    <mergeCell ref="DE24:EA24"/>
    <mergeCell ref="CZ23:EA23"/>
    <mergeCell ref="CL22:EA22"/>
    <mergeCell ref="BO21:EA21"/>
    <mergeCell ref="AZ3:BA3"/>
    <mergeCell ref="BH3:BI3"/>
    <mergeCell ref="BJ3:BK3"/>
    <mergeCell ref="BL3:BM3"/>
    <mergeCell ref="BO3:BP3"/>
    <mergeCell ref="BQ3:BR3"/>
    <mergeCell ref="BS3:BV3"/>
    <mergeCell ref="AJ5:AN5"/>
    <mergeCell ref="AO5:AR5"/>
    <mergeCell ref="AS5:AY5"/>
    <mergeCell ref="AZ5:BG5"/>
    <mergeCell ref="BW5:CD5"/>
    <mergeCell ref="A6:B6"/>
    <mergeCell ref="C6:G6"/>
    <mergeCell ref="H6:I6"/>
    <mergeCell ref="J6:J9"/>
    <mergeCell ref="K6:N6"/>
    <mergeCell ref="R6:U6"/>
    <mergeCell ref="AS8:AT8"/>
    <mergeCell ref="AV8:AW8"/>
    <mergeCell ref="CB8:CD8"/>
    <mergeCell ref="CE8:CI8"/>
    <mergeCell ref="CJ8:CO8"/>
    <mergeCell ref="CQ8:CV8"/>
    <mergeCell ref="CE9:CI9"/>
    <mergeCell ref="CJ9:CO9"/>
    <mergeCell ref="CQ9:CV9"/>
    <mergeCell ref="BW6:BZ6"/>
    <mergeCell ref="BO8:BV8"/>
    <mergeCell ref="BW8:BZ8"/>
    <mergeCell ref="BN5:BN13"/>
    <mergeCell ref="BO13:BP13"/>
    <mergeCell ref="BQ13:BU13"/>
    <mergeCell ref="BW13:BZ13"/>
    <mergeCell ref="BW3:BX3"/>
    <mergeCell ref="BY3:BZ3"/>
    <mergeCell ref="BH5:BI13"/>
    <mergeCell ref="BL5:BM6"/>
    <mergeCell ref="BW9:BZ9"/>
    <mergeCell ref="BO10:BV10"/>
    <mergeCell ref="BX12:BZ12"/>
    <mergeCell ref="BO5:BV5"/>
    <mergeCell ref="BO6:BV6"/>
    <mergeCell ref="BJ6:BK6"/>
    <mergeCell ref="BJ8:BK8"/>
    <mergeCell ref="BJ9:BK9"/>
    <mergeCell ref="BO9:BV9"/>
    <mergeCell ref="BJ5:BK5"/>
    <mergeCell ref="BJ10:BK10"/>
    <mergeCell ref="BL8:BM13"/>
    <mergeCell ref="BJ11:BK11"/>
    <mergeCell ref="BJ12:BK12"/>
    <mergeCell ref="BO11:BV11"/>
    <mergeCell ref="BW11:BZ11"/>
    <mergeCell ref="CA11:CD11"/>
    <mergeCell ref="BO12:BR12"/>
    <mergeCell ref="BS12:BV12"/>
    <mergeCell ref="CO90:DC90"/>
    <mergeCell ref="CQ92:DW92"/>
    <mergeCell ref="BV88:CD88"/>
    <mergeCell ref="CE88:CH88"/>
    <mergeCell ref="CI88:CN88"/>
    <mergeCell ref="CO88:DC88"/>
    <mergeCell ref="CO89:DC89"/>
    <mergeCell ref="BY90:CD90"/>
    <mergeCell ref="CE90:CN90"/>
    <mergeCell ref="BM61:BN61"/>
    <mergeCell ref="BM62:BN62"/>
    <mergeCell ref="BM63:BN63"/>
    <mergeCell ref="BM64:BN64"/>
    <mergeCell ref="BM65:BP65"/>
    <mergeCell ref="BR65:BT65"/>
    <mergeCell ref="BQ66:BT66"/>
    <mergeCell ref="BM66:BP66"/>
    <mergeCell ref="BM67:BQ67"/>
    <mergeCell ref="BR67:BU67"/>
    <mergeCell ref="BM68:BW68"/>
    <mergeCell ref="BV69:BX69"/>
    <mergeCell ref="BQ70:BX70"/>
    <mergeCell ref="BW71:BY71"/>
    <mergeCell ref="BM70:BP70"/>
    <mergeCell ref="BM72:BT72"/>
    <mergeCell ref="BU72:BV72"/>
    <mergeCell ref="BW72:BZ72"/>
    <mergeCell ref="CA72:CI72"/>
    <mergeCell ref="BM73:BZ73"/>
    <mergeCell ref="CA73:CI73"/>
    <mergeCell ref="BM74:BZ74"/>
    <mergeCell ref="CA74:CI74"/>
    <mergeCell ref="BM75:BY75"/>
    <mergeCell ref="BZ75:CA75"/>
    <mergeCell ref="BM76:BX76"/>
    <mergeCell ref="BY76:CA76"/>
    <mergeCell ref="BZ77:CA77"/>
    <mergeCell ref="CB78:CH78"/>
    <mergeCell ref="CH79:CJ79"/>
    <mergeCell ref="CG80:CK80"/>
    <mergeCell ref="CK81:CL81"/>
    <mergeCell ref="CA82:CB82"/>
    <mergeCell ref="CC82:CJ82"/>
    <mergeCell ref="CK82:CL82"/>
    <mergeCell ref="CM84:CP84"/>
    <mergeCell ref="CL87:CP87"/>
    <mergeCell ref="CQ87:CV87"/>
    <mergeCell ref="CM82:CN82"/>
    <mergeCell ref="CO83:CP83"/>
    <mergeCell ref="BM84:BY84"/>
    <mergeCell ref="BZ84:CL84"/>
    <mergeCell ref="BY85:CA85"/>
    <mergeCell ref="CB85:CP85"/>
    <mergeCell ref="BZ86:CP86"/>
    <mergeCell ref="V6:Z6"/>
    <mergeCell ref="AA6:AA9"/>
    <mergeCell ref="V8:Z8"/>
    <mergeCell ref="V9:Z9"/>
    <mergeCell ref="H10:N10"/>
    <mergeCell ref="Q10:AC10"/>
    <mergeCell ref="H5:N5"/>
    <mergeCell ref="H11:J11"/>
    <mergeCell ref="K11:N11"/>
    <mergeCell ref="K12:N12"/>
    <mergeCell ref="Q11:S11"/>
    <mergeCell ref="T11:U11"/>
    <mergeCell ref="V11:AA11"/>
    <mergeCell ref="AB11:AC11"/>
    <mergeCell ref="AE11:AH11"/>
    <mergeCell ref="R12:U12"/>
    <mergeCell ref="V12:W12"/>
    <mergeCell ref="X12:AC12"/>
    <mergeCell ref="AE12:AH12"/>
    <mergeCell ref="AJ15:AU15"/>
    <mergeCell ref="AV15:BK15"/>
    <mergeCell ref="O5:P13"/>
    <mergeCell ref="Q5:AC5"/>
    <mergeCell ref="AE5:AH5"/>
    <mergeCell ref="AI5:AI12"/>
    <mergeCell ref="AE8:AH8"/>
    <mergeCell ref="AE9:AH9"/>
    <mergeCell ref="AE10:AH10"/>
    <mergeCell ref="C15:E16"/>
    <mergeCell ref="C17:E17"/>
    <mergeCell ref="A21:A26"/>
    <mergeCell ref="A30:A92"/>
    <mergeCell ref="C30:E30"/>
    <mergeCell ref="A8:A13"/>
    <mergeCell ref="C10:G10"/>
    <mergeCell ref="C11:G11"/>
    <mergeCell ref="C12:G12"/>
    <mergeCell ref="A15:A19"/>
    <mergeCell ref="G15:J15"/>
    <mergeCell ref="F16:J16"/>
    <mergeCell ref="C34:J34"/>
    <mergeCell ref="C35:J35"/>
    <mergeCell ref="C38:G38"/>
    <mergeCell ref="C53:H53"/>
    <mergeCell ref="C54:I54"/>
    <mergeCell ref="F17:J17"/>
    <mergeCell ref="C18:E18"/>
    <mergeCell ref="F18:J18"/>
    <mergeCell ref="C31:G31"/>
    <mergeCell ref="H31:H32"/>
    <mergeCell ref="I31:K32"/>
    <mergeCell ref="C32:G32"/>
    <mergeCell ref="AS17:AY17"/>
    <mergeCell ref="AZ17:BD17"/>
    <mergeCell ref="BL16:BM19"/>
    <mergeCell ref="BN18:BN19"/>
    <mergeCell ref="BL21:BM26"/>
    <mergeCell ref="BN21:BN26"/>
    <mergeCell ref="BO16:BR16"/>
    <mergeCell ref="BO19:BT19"/>
    <mergeCell ref="CQ23:CY23"/>
    <mergeCell ref="AB15:AI15"/>
    <mergeCell ref="AE16:AI16"/>
    <mergeCell ref="AM16:AP16"/>
    <mergeCell ref="AR16:BD16"/>
    <mergeCell ref="BE16:BK16"/>
    <mergeCell ref="BE18:BK18"/>
    <mergeCell ref="AK19:AL19"/>
    <mergeCell ref="C21:BK26"/>
    <mergeCell ref="BS16:BU16"/>
    <mergeCell ref="BV16:BY16"/>
    <mergeCell ref="BZ16:CA16"/>
    <mergeCell ref="CB16:CH16"/>
    <mergeCell ref="CJ16:CO16"/>
    <mergeCell ref="CP16:CU16"/>
    <mergeCell ref="AB17:AI17"/>
    <mergeCell ref="AK17:AL17"/>
    <mergeCell ref="AN17:AO17"/>
    <mergeCell ref="AP17:AQ17"/>
    <mergeCell ref="BE17:BK17"/>
    <mergeCell ref="BO17:BU17"/>
    <mergeCell ref="BV17:CA17"/>
    <mergeCell ref="CB17:CI17"/>
    <mergeCell ref="CJ17:CQ17"/>
    <mergeCell ref="CR17:CV17"/>
    <mergeCell ref="AB18:AD18"/>
    <mergeCell ref="AE18:AI18"/>
    <mergeCell ref="AK18:AL18"/>
    <mergeCell ref="AN18:AO18"/>
    <mergeCell ref="AP18:AQ18"/>
    <mergeCell ref="AR18:AZ18"/>
    <mergeCell ref="BO18:BU18"/>
    <mergeCell ref="CD18:CH18"/>
    <mergeCell ref="CI18:CJ18"/>
    <mergeCell ref="CK18:CM18"/>
    <mergeCell ref="T37:AA37"/>
    <mergeCell ref="AB37:AE37"/>
    <mergeCell ref="AE38:AK38"/>
    <mergeCell ref="T16:W16"/>
    <mergeCell ref="X16:AA16"/>
    <mergeCell ref="AB16:AC16"/>
    <mergeCell ref="T32:AA32"/>
    <mergeCell ref="AB32:AI32"/>
    <mergeCell ref="AJ32:AN32"/>
    <mergeCell ref="P35:AD35"/>
    <mergeCell ref="C5:G5"/>
    <mergeCell ref="C8:G8"/>
    <mergeCell ref="R8:U8"/>
    <mergeCell ref="AB8:AD8"/>
    <mergeCell ref="A5:B5"/>
    <mergeCell ref="C9:G9"/>
    <mergeCell ref="R9:U9"/>
    <mergeCell ref="AB9:AD9"/>
    <mergeCell ref="K17:M17"/>
    <mergeCell ref="N17:P17"/>
    <mergeCell ref="Q17:W17"/>
    <mergeCell ref="X17:AA17"/>
    <mergeCell ref="Q18:S18"/>
    <mergeCell ref="T18:W18"/>
    <mergeCell ref="X18:AA18"/>
    <mergeCell ref="H9:I9"/>
    <mergeCell ref="K9:N9"/>
    <mergeCell ref="L15:U15"/>
    <mergeCell ref="W15:AA15"/>
    <mergeCell ref="K16:M16"/>
    <mergeCell ref="N16:P16"/>
    <mergeCell ref="Q16:S16"/>
    <mergeCell ref="H8:I8"/>
    <mergeCell ref="K8:N8"/>
    <mergeCell ref="N32:P32"/>
    <mergeCell ref="Q32:S32"/>
    <mergeCell ref="I33:M33"/>
    <mergeCell ref="K34:M34"/>
    <mergeCell ref="C36:M36"/>
    <mergeCell ref="C37:S37"/>
    <mergeCell ref="H38:V38"/>
    <mergeCell ref="W38:AC38"/>
    <mergeCell ref="K40:O40"/>
    <mergeCell ref="P40:S40"/>
    <mergeCell ref="N41:O41"/>
    <mergeCell ref="P41:T41"/>
    <mergeCell ref="S42:T42"/>
    <mergeCell ref="U43:AA43"/>
    <mergeCell ref="AB44:AD44"/>
    <mergeCell ref="Q45:AB45"/>
    <mergeCell ref="AC45:AE45"/>
    <mergeCell ref="AJ46:AT46"/>
    <mergeCell ref="AU46:AX46"/>
    <mergeCell ref="T47:V47"/>
    <mergeCell ref="W47:AA47"/>
    <mergeCell ref="AB47:AI47"/>
    <mergeCell ref="AJ47:AN47"/>
    <mergeCell ref="AK48:AN48"/>
    <mergeCell ref="AK49:AN49"/>
    <mergeCell ref="AO50:AY50"/>
    <mergeCell ref="AO53:BB53"/>
    <mergeCell ref="BC53:BI53"/>
    <mergeCell ref="BJ53:BL53"/>
    <mergeCell ref="AU51:AY51"/>
    <mergeCell ref="AZ51:BD51"/>
    <mergeCell ref="AD52:AE52"/>
    <mergeCell ref="AF52:BB52"/>
    <mergeCell ref="BC52:BF52"/>
    <mergeCell ref="I53:P53"/>
    <mergeCell ref="Q53:AN53"/>
    <mergeCell ref="J54:AB54"/>
    <mergeCell ref="AC54:AJ54"/>
    <mergeCell ref="AK54:AY54"/>
    <mergeCell ref="AZ54:BL54"/>
    <mergeCell ref="AL55:BB55"/>
    <mergeCell ref="BC55:BL55"/>
    <mergeCell ref="AO56:BL56"/>
    <mergeCell ref="AZ57:BE57"/>
    <mergeCell ref="BG57:BI57"/>
    <mergeCell ref="BJ57:BL57"/>
    <mergeCell ref="BC58:BF58"/>
    <mergeCell ref="BG58:BL58"/>
    <mergeCell ref="BC59:BL59"/>
    <mergeCell ref="BM60:BN60"/>
  </mergeCells>
  <conditionalFormatting sqref="B16:B19">
    <cfRule type="cellIs" dxfId="19" priority="1" operator="equal">
      <formula>"D66"</formula>
    </cfRule>
  </conditionalFormatting>
  <conditionalFormatting sqref="B16:B19">
    <cfRule type="cellIs" dxfId="20" priority="2" operator="equal">
      <formula>"MPN"</formula>
    </cfRule>
  </conditionalFormatting>
  <conditionalFormatting sqref="B16:B19">
    <cfRule type="cellIs" dxfId="21" priority="3" operator="equal">
      <formula>"S&amp;V"</formula>
    </cfRule>
  </conditionalFormatting>
  <conditionalFormatting sqref="B16:B19">
    <cfRule type="cellIs" dxfId="22" priority="4" operator="equal">
      <formula>"PVV"</formula>
    </cfRule>
  </conditionalFormatting>
  <conditionalFormatting sqref="B16:B19">
    <cfRule type="cellIs" dxfId="23" priority="5" operator="equal">
      <formula>"VVD"</formula>
    </cfRule>
  </conditionalFormatting>
  <conditionalFormatting sqref="B16:B19">
    <cfRule type="cellIs" dxfId="24" priority="6" operator="equal">
      <formula>"GL"</formula>
    </cfRule>
  </conditionalFormatting>
  <conditionalFormatting sqref="B16:B19">
    <cfRule type="cellIs" dxfId="25" priority="7" operator="equal">
      <formula>"PP"</formula>
    </cfRule>
  </conditionalFormatting>
  <conditionalFormatting sqref="B16:B19">
    <cfRule type="cellIs" dxfId="26" priority="8" operator="equal">
      <formula>"CDA"</formula>
    </cfRule>
  </conditionalFormatting>
  <drawing r:id="rId2"/>
  <legacyDrawing r:id="rId3"/>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AA84F"/>
    <outlinePr summaryBelow="0" summaryRight="0"/>
  </sheetPr>
  <sheetViews>
    <sheetView workbookViewId="0">
      <pane ySplit="2.0" topLeftCell="A3" activePane="bottomLeft" state="frozen"/>
      <selection activeCell="B4" sqref="B4" pane="bottomLeft"/>
    </sheetView>
  </sheetViews>
  <sheetFormatPr customHeight="1" defaultColWidth="14.43" defaultRowHeight="15.75"/>
  <cols>
    <col customWidth="1" min="1" max="1" width="14.43"/>
    <col customWidth="1" min="2" max="7" width="13.0"/>
    <col customWidth="1" min="8" max="8" width="7.29"/>
    <col customWidth="1" min="9" max="12" width="13.0"/>
    <col customWidth="1" min="13" max="14" width="7.29"/>
    <col customWidth="1" min="15" max="16" width="13.0"/>
    <col customWidth="1" min="17" max="18" width="3.71"/>
    <col customWidth="1" min="19" max="20" width="13.0"/>
    <col customWidth="1" min="21" max="22" width="6.57"/>
    <col customWidth="1" min="23" max="24" width="3.71"/>
    <col customWidth="1" min="25" max="25" width="13.0"/>
    <col customWidth="1" min="26" max="28" width="25.86"/>
    <col customWidth="1" min="29" max="30" width="7.29"/>
    <col customWidth="1" min="31" max="32" width="13.0"/>
    <col customWidth="1" min="33" max="33" width="25.86"/>
    <col customWidth="1" min="34" max="35" width="3.71"/>
    <col customWidth="1" min="36" max="39" width="13.0"/>
    <col customWidth="1" min="40" max="41" width="25.86"/>
    <col customWidth="1" min="42" max="43" width="7.29"/>
    <col customWidth="1" min="44" max="44" width="13.0"/>
    <col customWidth="1" min="45" max="46" width="6.57"/>
    <col customWidth="1" min="47" max="47" width="13.0"/>
    <col customWidth="1" min="48" max="49" width="6.57"/>
    <col customWidth="1" min="50" max="50" width="13.0"/>
    <col customWidth="1" min="51" max="52" width="6.57"/>
    <col customWidth="1" min="53" max="55" width="13.0"/>
    <col customWidth="1" min="56" max="56" width="7.29"/>
    <col customWidth="1" min="57" max="60" width="13.0"/>
  </cols>
  <sheetData>
    <row r="1" ht="24.0" customHeight="1">
      <c r="A1" s="970" t="s">
        <v>1316</v>
      </c>
      <c r="B1" s="971" t="s">
        <v>159</v>
      </c>
      <c r="G1" s="972"/>
      <c r="H1" s="973"/>
      <c r="I1" s="971" t="s">
        <v>1317</v>
      </c>
      <c r="M1" s="974" t="s">
        <v>1318</v>
      </c>
      <c r="N1" s="20"/>
      <c r="O1" s="971" t="s">
        <v>1107</v>
      </c>
      <c r="Q1" s="974"/>
      <c r="R1" s="20"/>
      <c r="S1" s="971" t="s">
        <v>263</v>
      </c>
      <c r="W1" s="974"/>
      <c r="X1" s="20"/>
      <c r="Y1" s="971" t="s">
        <v>299</v>
      </c>
      <c r="AC1" s="974" t="s">
        <v>1319</v>
      </c>
      <c r="AD1" s="20"/>
      <c r="AE1" s="971" t="s">
        <v>351</v>
      </c>
      <c r="AH1" s="974"/>
      <c r="AI1" s="20"/>
      <c r="AJ1" s="971" t="s">
        <v>380</v>
      </c>
      <c r="AP1" s="974" t="s">
        <v>1320</v>
      </c>
      <c r="AQ1" s="20"/>
      <c r="AR1" s="971" t="s">
        <v>678</v>
      </c>
      <c r="BC1" s="44"/>
      <c r="BD1" s="973"/>
      <c r="BE1" s="971" t="s">
        <v>780</v>
      </c>
    </row>
    <row r="2">
      <c r="A2" s="21"/>
      <c r="B2" s="975">
        <v>43422.0</v>
      </c>
      <c r="D2" s="975">
        <v>43452.0</v>
      </c>
      <c r="F2" s="975">
        <v>43119.0</v>
      </c>
      <c r="H2" s="21"/>
      <c r="I2" s="975">
        <v>43515.0</v>
      </c>
      <c r="K2" s="975">
        <v>43543.0</v>
      </c>
      <c r="M2" s="26"/>
      <c r="N2" s="27"/>
      <c r="O2" s="976">
        <v>43574.0</v>
      </c>
      <c r="Q2" s="26"/>
      <c r="R2" s="27"/>
      <c r="S2" s="977">
        <v>43604.0</v>
      </c>
      <c r="U2" s="252" t="s">
        <v>1321</v>
      </c>
      <c r="W2" s="26"/>
      <c r="X2" s="27"/>
      <c r="Y2" s="252" t="s">
        <v>1322</v>
      </c>
      <c r="Z2" s="978">
        <v>43665.0</v>
      </c>
      <c r="AA2" s="976">
        <v>43696.0</v>
      </c>
      <c r="AB2" s="976">
        <v>43727.0</v>
      </c>
      <c r="AC2" s="26"/>
      <c r="AD2" s="27"/>
      <c r="AE2" s="976">
        <v>43757.0</v>
      </c>
      <c r="AG2" s="976">
        <v>43788.0</v>
      </c>
      <c r="AH2" s="26"/>
      <c r="AI2" s="27"/>
      <c r="AJ2" s="976">
        <v>43818.0</v>
      </c>
      <c r="AL2" s="976">
        <v>43485.0</v>
      </c>
      <c r="AN2" s="976">
        <v>43151.0</v>
      </c>
      <c r="AO2" s="976">
        <v>42814.0</v>
      </c>
      <c r="AP2" s="26"/>
      <c r="AQ2" s="27"/>
      <c r="AR2" s="976">
        <v>43941.0</v>
      </c>
      <c r="AU2" s="979">
        <v>43971.0</v>
      </c>
      <c r="AX2" s="977">
        <v>44002.0</v>
      </c>
      <c r="BA2" s="976">
        <v>43666.0</v>
      </c>
      <c r="BC2" s="976">
        <v>44063.0</v>
      </c>
      <c r="BD2" s="980"/>
      <c r="BE2" s="976">
        <v>44063.0</v>
      </c>
      <c r="BF2" s="976">
        <v>44094.0</v>
      </c>
      <c r="BH2" s="976"/>
    </row>
    <row r="3">
      <c r="A3" s="981" t="s">
        <v>21</v>
      </c>
      <c r="B3" s="982" t="s">
        <v>1323</v>
      </c>
      <c r="H3" s="981" t="s">
        <v>156</v>
      </c>
      <c r="I3" s="982" t="s">
        <v>1323</v>
      </c>
      <c r="M3" s="983" t="s">
        <v>21</v>
      </c>
      <c r="N3" s="17"/>
      <c r="O3" s="982" t="s">
        <v>1324</v>
      </c>
      <c r="Q3" s="983" t="s">
        <v>156</v>
      </c>
      <c r="R3" s="17"/>
      <c r="S3" s="982" t="s">
        <v>1324</v>
      </c>
      <c r="W3" s="983" t="s">
        <v>156</v>
      </c>
      <c r="X3" s="17"/>
      <c r="Y3" s="982" t="s">
        <v>1324</v>
      </c>
      <c r="AC3" s="983" t="s">
        <v>21</v>
      </c>
      <c r="AD3" s="17"/>
      <c r="AE3" s="982" t="s">
        <v>1324</v>
      </c>
      <c r="AH3" s="983" t="s">
        <v>156</v>
      </c>
      <c r="AI3" s="17"/>
      <c r="AJ3" s="982" t="s">
        <v>1324</v>
      </c>
      <c r="AP3" s="983" t="s">
        <v>21</v>
      </c>
      <c r="AQ3" s="17"/>
      <c r="AR3" s="984" t="s">
        <v>1324</v>
      </c>
      <c r="AS3" s="131"/>
      <c r="AT3" s="131"/>
      <c r="AU3" s="131"/>
      <c r="AV3" s="131"/>
      <c r="AW3" s="131"/>
      <c r="AX3" s="131"/>
      <c r="AY3" s="131"/>
      <c r="AZ3" s="131"/>
      <c r="BA3" s="131"/>
      <c r="BB3" s="131"/>
      <c r="BC3" s="985"/>
      <c r="BD3" s="986" t="s">
        <v>156</v>
      </c>
      <c r="BE3" s="984"/>
      <c r="BF3" s="984"/>
      <c r="BG3" s="984"/>
      <c r="BH3" s="984"/>
    </row>
    <row r="4">
      <c r="A4" s="987" t="s">
        <v>1287</v>
      </c>
      <c r="B4" s="988" t="s">
        <v>1325</v>
      </c>
      <c r="H4" s="989" t="s">
        <v>214</v>
      </c>
      <c r="I4" s="990" t="s">
        <v>109</v>
      </c>
      <c r="M4" s="989" t="s">
        <v>214</v>
      </c>
      <c r="N4" s="135"/>
      <c r="O4" s="991" t="s">
        <v>197</v>
      </c>
      <c r="P4" s="992"/>
      <c r="Q4" s="989" t="s">
        <v>214</v>
      </c>
      <c r="R4" s="135"/>
      <c r="S4" s="991" t="s">
        <v>197</v>
      </c>
      <c r="T4" s="992"/>
      <c r="U4" s="992"/>
      <c r="V4" s="992"/>
      <c r="W4" s="989" t="s">
        <v>214</v>
      </c>
      <c r="X4" s="135"/>
      <c r="Y4" s="991" t="s">
        <v>197</v>
      </c>
      <c r="Z4" s="992"/>
      <c r="AA4" s="992"/>
      <c r="AB4" s="992"/>
      <c r="AC4" s="993" t="s">
        <v>36</v>
      </c>
      <c r="AD4" s="135"/>
      <c r="AE4" s="994" t="s">
        <v>102</v>
      </c>
      <c r="AF4" s="992"/>
      <c r="AG4" s="995"/>
      <c r="AH4" s="993" t="s">
        <v>36</v>
      </c>
      <c r="AI4" s="135"/>
      <c r="AJ4" s="994" t="s">
        <v>102</v>
      </c>
      <c r="AK4" s="992"/>
      <c r="AL4" s="992"/>
      <c r="AM4" s="996" t="s">
        <v>134</v>
      </c>
      <c r="AN4" s="992"/>
      <c r="AO4" s="995"/>
      <c r="AP4" s="997" t="s">
        <v>15</v>
      </c>
      <c r="AQ4" s="135"/>
      <c r="AR4" s="998" t="s">
        <v>97</v>
      </c>
      <c r="AS4" s="992"/>
      <c r="AT4" s="992"/>
      <c r="AU4" s="992"/>
      <c r="AV4" s="992"/>
      <c r="AW4" s="992"/>
      <c r="AX4" s="992"/>
      <c r="AY4" s="992"/>
      <c r="AZ4" s="992"/>
      <c r="BA4" s="992"/>
      <c r="BB4" s="992"/>
      <c r="BC4" s="999"/>
      <c r="BD4" s="1000" t="s">
        <v>15</v>
      </c>
      <c r="BE4" s="1001" t="s">
        <v>97</v>
      </c>
      <c r="BF4" s="1001"/>
      <c r="BG4" s="1001"/>
      <c r="BH4" s="1001"/>
    </row>
    <row r="5">
      <c r="A5" s="813"/>
      <c r="B5" s="1002" t="s">
        <v>1326</v>
      </c>
      <c r="G5" s="1003" t="s">
        <v>294</v>
      </c>
      <c r="H5" s="43"/>
      <c r="I5" s="1004" t="s">
        <v>197</v>
      </c>
      <c r="M5" s="43"/>
      <c r="N5" s="135"/>
      <c r="O5" s="1005" t="s">
        <v>162</v>
      </c>
      <c r="Q5" s="43"/>
      <c r="R5" s="135"/>
      <c r="S5" s="1005" t="s">
        <v>162</v>
      </c>
      <c r="W5" s="43"/>
      <c r="X5" s="135"/>
      <c r="Y5" s="1005" t="s">
        <v>162</v>
      </c>
      <c r="AC5" s="43"/>
      <c r="AD5" s="135"/>
      <c r="AE5" s="1006" t="s">
        <v>176</v>
      </c>
      <c r="AG5" s="135"/>
      <c r="AH5" s="43"/>
      <c r="AI5" s="135"/>
      <c r="AJ5" s="1006" t="s">
        <v>176</v>
      </c>
      <c r="AO5" s="135"/>
      <c r="AP5" s="43"/>
      <c r="AQ5" s="135"/>
      <c r="AR5" s="1007" t="s">
        <v>401</v>
      </c>
      <c r="BC5" s="1008" t="s">
        <v>94</v>
      </c>
      <c r="BD5" s="1009"/>
      <c r="BE5" s="1007" t="s">
        <v>94</v>
      </c>
      <c r="BF5" s="1007"/>
      <c r="BG5" s="1007"/>
      <c r="BH5" s="1007"/>
    </row>
    <row r="6">
      <c r="A6" s="813"/>
      <c r="B6" s="1002" t="s">
        <v>1327</v>
      </c>
      <c r="F6" s="1010" t="s">
        <v>1328</v>
      </c>
      <c r="H6" s="43"/>
      <c r="I6" s="1004" t="s">
        <v>182</v>
      </c>
      <c r="M6" s="43"/>
      <c r="N6" s="135"/>
      <c r="O6" s="1005" t="s">
        <v>182</v>
      </c>
      <c r="Q6" s="43"/>
      <c r="R6" s="135"/>
      <c r="S6" s="1005" t="s">
        <v>182</v>
      </c>
      <c r="W6" s="43"/>
      <c r="X6" s="135"/>
      <c r="Y6" s="1005" t="s">
        <v>182</v>
      </c>
      <c r="AC6" s="43"/>
      <c r="AD6" s="135"/>
      <c r="AE6" s="1011" t="s">
        <v>252</v>
      </c>
      <c r="AH6" s="43"/>
      <c r="AI6" s="135"/>
      <c r="AJ6" s="1011" t="s">
        <v>252</v>
      </c>
      <c r="AO6" s="135"/>
      <c r="AP6" s="43"/>
      <c r="AQ6" s="135"/>
      <c r="AR6" s="1007" t="s">
        <v>930</v>
      </c>
      <c r="BB6" s="1012" t="s">
        <v>555</v>
      </c>
      <c r="BC6" s="44"/>
      <c r="BD6" s="1009"/>
      <c r="BE6" s="1007" t="s">
        <v>555</v>
      </c>
      <c r="BF6" s="1007"/>
      <c r="BG6" s="1007"/>
      <c r="BH6" s="1007"/>
    </row>
    <row r="7">
      <c r="A7" s="813"/>
      <c r="B7" s="1002" t="s">
        <v>1329</v>
      </c>
      <c r="H7" s="43"/>
      <c r="I7" s="1004" t="s">
        <v>1330</v>
      </c>
      <c r="M7" s="43"/>
      <c r="N7" s="135"/>
      <c r="O7" s="1005" t="s">
        <v>1330</v>
      </c>
      <c r="Q7" s="43"/>
      <c r="R7" s="135"/>
      <c r="S7" s="1005" t="s">
        <v>1330</v>
      </c>
      <c r="W7" s="43"/>
      <c r="X7" s="135"/>
      <c r="Y7" s="1005" t="s">
        <v>1330</v>
      </c>
      <c r="AC7" s="43"/>
      <c r="AD7" s="135"/>
      <c r="AE7" s="1011" t="s">
        <v>1331</v>
      </c>
      <c r="AH7" s="43"/>
      <c r="AI7" s="135"/>
      <c r="AJ7" s="1011" t="s">
        <v>1331</v>
      </c>
      <c r="AO7" s="135"/>
      <c r="AP7" s="43"/>
      <c r="AQ7" s="135"/>
      <c r="AR7" s="1007" t="s">
        <v>182</v>
      </c>
      <c r="AY7" s="1012" t="s">
        <v>1332</v>
      </c>
      <c r="BC7" s="44"/>
      <c r="BD7" s="1009"/>
      <c r="BE7" s="1007" t="s">
        <v>1332</v>
      </c>
      <c r="BF7" s="1007"/>
      <c r="BG7" s="1007"/>
      <c r="BH7" s="1007"/>
    </row>
    <row r="8">
      <c r="A8" s="813"/>
      <c r="B8" s="1002" t="s">
        <v>249</v>
      </c>
      <c r="H8" s="43"/>
      <c r="I8" s="1004" t="s">
        <v>326</v>
      </c>
      <c r="M8" s="43"/>
      <c r="N8" s="135"/>
      <c r="O8" s="1013" t="s">
        <v>1333</v>
      </c>
      <c r="Q8" s="43"/>
      <c r="R8" s="135"/>
      <c r="S8" s="1013" t="s">
        <v>1333</v>
      </c>
      <c r="W8" s="43"/>
      <c r="X8" s="135"/>
      <c r="Y8" s="1014" t="s">
        <v>1168</v>
      </c>
      <c r="AB8" s="1014" t="s">
        <v>1334</v>
      </c>
      <c r="AC8" s="43"/>
      <c r="AD8" s="135"/>
      <c r="AE8" s="1011" t="s">
        <v>37</v>
      </c>
      <c r="AH8" s="43"/>
      <c r="AI8" s="135"/>
      <c r="AJ8" s="1011" t="s">
        <v>37</v>
      </c>
      <c r="AP8" s="43"/>
      <c r="AQ8" s="135"/>
      <c r="AR8" s="1007" t="s">
        <v>176</v>
      </c>
      <c r="AV8" s="1015" t="s">
        <v>1335</v>
      </c>
      <c r="BC8" s="1016"/>
      <c r="BD8" s="1009"/>
      <c r="BE8" s="1007" t="s">
        <v>96</v>
      </c>
      <c r="BF8" s="1007"/>
      <c r="BG8" s="1007"/>
      <c r="BH8" s="1007"/>
    </row>
    <row r="9">
      <c r="A9" s="1017" t="s">
        <v>1289</v>
      </c>
      <c r="B9" s="1018" t="s">
        <v>1336</v>
      </c>
      <c r="G9" s="1018"/>
      <c r="H9" s="43"/>
      <c r="I9" s="1004" t="s">
        <v>97</v>
      </c>
      <c r="M9" s="43"/>
      <c r="N9" s="135"/>
      <c r="O9" s="1019" t="s">
        <v>206</v>
      </c>
      <c r="Q9" s="43"/>
      <c r="R9" s="135"/>
      <c r="S9" s="1019" t="s">
        <v>102</v>
      </c>
      <c r="W9" s="43"/>
      <c r="X9" s="135"/>
      <c r="Y9" s="1019" t="s">
        <v>102</v>
      </c>
      <c r="AC9" s="1020"/>
      <c r="AD9" s="132"/>
      <c r="AE9" s="1021" t="s">
        <v>326</v>
      </c>
      <c r="AF9" s="131"/>
      <c r="AG9" s="131"/>
      <c r="AH9" s="43"/>
      <c r="AI9" s="135"/>
      <c r="AJ9" s="1011" t="s">
        <v>326</v>
      </c>
      <c r="AO9" s="135"/>
      <c r="AP9" s="43"/>
      <c r="AQ9" s="135"/>
      <c r="AR9" s="1007" t="s">
        <v>162</v>
      </c>
      <c r="BC9" s="44"/>
      <c r="BD9" s="1009"/>
      <c r="BE9" s="1007" t="s">
        <v>98</v>
      </c>
      <c r="BF9" s="1007"/>
      <c r="BG9" s="1007"/>
      <c r="BH9" s="1007"/>
    </row>
    <row r="10">
      <c r="A10" s="813"/>
      <c r="B10" s="1022" t="s">
        <v>1337</v>
      </c>
      <c r="G10" s="1022"/>
      <c r="H10" s="43"/>
      <c r="I10" s="1013" t="s">
        <v>1333</v>
      </c>
      <c r="M10" s="1020"/>
      <c r="N10" s="132"/>
      <c r="O10" s="1005" t="s">
        <v>109</v>
      </c>
      <c r="Q10" s="1020"/>
      <c r="R10" s="132"/>
      <c r="S10" s="1005" t="s">
        <v>109</v>
      </c>
      <c r="W10" s="1020"/>
      <c r="X10" s="132"/>
      <c r="Y10" s="1005" t="s">
        <v>109</v>
      </c>
      <c r="AC10" s="1023" t="s">
        <v>375</v>
      </c>
      <c r="AD10" s="995"/>
      <c r="AE10" s="1024" t="s">
        <v>197</v>
      </c>
      <c r="AG10" s="135"/>
      <c r="AH10" s="1020"/>
      <c r="AI10" s="132"/>
      <c r="AJ10" s="1025" t="s">
        <v>1338</v>
      </c>
      <c r="AK10" s="131"/>
      <c r="AL10" s="131"/>
      <c r="AM10" s="131"/>
      <c r="AN10" s="131"/>
      <c r="AO10" s="132"/>
      <c r="AP10" s="43"/>
      <c r="AQ10" s="135"/>
      <c r="AR10" s="1007" t="s">
        <v>440</v>
      </c>
      <c r="BC10" s="44"/>
      <c r="BD10" s="1026"/>
      <c r="BE10" s="1027" t="s">
        <v>95</v>
      </c>
      <c r="BF10" s="1027"/>
      <c r="BG10" s="1027"/>
      <c r="BH10" s="1027"/>
    </row>
    <row r="11">
      <c r="A11" s="813"/>
      <c r="B11" s="1022" t="s">
        <v>244</v>
      </c>
      <c r="G11" s="1022"/>
      <c r="H11" s="1020"/>
      <c r="I11" s="1028" t="s">
        <v>1167</v>
      </c>
      <c r="M11" s="1029" t="s">
        <v>31</v>
      </c>
      <c r="N11" s="995"/>
      <c r="O11" s="1030" t="s">
        <v>32</v>
      </c>
      <c r="P11" s="992"/>
      <c r="Q11" s="1029" t="s">
        <v>31</v>
      </c>
      <c r="R11" s="995"/>
      <c r="S11" s="1031" t="s">
        <v>32</v>
      </c>
      <c r="T11" s="992"/>
      <c r="U11" s="992"/>
      <c r="V11" s="992"/>
      <c r="W11" s="1029" t="s">
        <v>31</v>
      </c>
      <c r="X11" s="995"/>
      <c r="Y11" s="1032" t="s">
        <v>111</v>
      </c>
      <c r="Z11" s="992"/>
      <c r="AA11" s="992"/>
      <c r="AB11" s="992"/>
      <c r="AC11" s="43"/>
      <c r="AD11" s="135"/>
      <c r="AE11" s="1033" t="s">
        <v>206</v>
      </c>
      <c r="AG11" s="135"/>
      <c r="AH11" s="1029" t="s">
        <v>31</v>
      </c>
      <c r="AI11" s="995"/>
      <c r="AJ11" s="1034" t="s">
        <v>32</v>
      </c>
      <c r="AO11" s="135"/>
      <c r="AP11" s="1020"/>
      <c r="AQ11" s="132"/>
      <c r="AR11" s="1027" t="s">
        <v>206</v>
      </c>
      <c r="AS11" s="131"/>
      <c r="AT11" s="131"/>
      <c r="AU11" s="131"/>
      <c r="AV11" s="131"/>
      <c r="AW11" s="131"/>
      <c r="AX11" s="131"/>
      <c r="AY11" s="1035" t="s">
        <v>95</v>
      </c>
      <c r="AZ11" s="131"/>
      <c r="BA11" s="131"/>
      <c r="BB11" s="131"/>
      <c r="BC11" s="228"/>
      <c r="BD11" s="1036" t="s">
        <v>24</v>
      </c>
      <c r="BE11" s="1037" t="s">
        <v>106</v>
      </c>
      <c r="BF11" s="1037"/>
      <c r="BG11" s="1037"/>
      <c r="BH11" s="1037"/>
    </row>
    <row r="12">
      <c r="A12" s="813"/>
      <c r="B12" s="1022" t="s">
        <v>252</v>
      </c>
      <c r="G12" s="1022"/>
      <c r="H12" s="1038" t="s">
        <v>1287</v>
      </c>
      <c r="I12" s="1039" t="s">
        <v>1325</v>
      </c>
      <c r="M12" s="43"/>
      <c r="N12" s="135"/>
      <c r="O12" s="1040" t="s">
        <v>1339</v>
      </c>
      <c r="Q12" s="43"/>
      <c r="R12" s="135"/>
      <c r="S12" s="1041" t="s">
        <v>282</v>
      </c>
      <c r="W12" s="43"/>
      <c r="X12" s="135"/>
      <c r="Y12" s="1042" t="s">
        <v>282</v>
      </c>
      <c r="AC12" s="43"/>
      <c r="AD12" s="135"/>
      <c r="AE12" s="1043" t="s">
        <v>244</v>
      </c>
      <c r="AG12" s="1043" t="s">
        <v>440</v>
      </c>
      <c r="AH12" s="43"/>
      <c r="AI12" s="135"/>
      <c r="AJ12" s="1044" t="s">
        <v>111</v>
      </c>
      <c r="AO12" s="135"/>
      <c r="AP12" s="1045" t="s">
        <v>24</v>
      </c>
      <c r="AQ12" s="995"/>
      <c r="AR12" s="1046" t="s">
        <v>106</v>
      </c>
      <c r="AS12" s="992"/>
      <c r="AT12" s="992"/>
      <c r="AU12" s="992"/>
      <c r="AV12" s="992"/>
      <c r="AW12" s="992"/>
      <c r="AX12" s="992"/>
      <c r="AY12" s="992"/>
      <c r="AZ12" s="992"/>
      <c r="BA12" s="992"/>
      <c r="BB12" s="992"/>
      <c r="BC12" s="999"/>
      <c r="BD12" s="135"/>
      <c r="BE12" s="1047" t="s">
        <v>141</v>
      </c>
      <c r="BF12" s="1047"/>
      <c r="BG12" s="1047"/>
      <c r="BH12" s="1047"/>
    </row>
    <row r="13">
      <c r="A13" s="813"/>
      <c r="B13" s="1048" t="s">
        <v>1147</v>
      </c>
      <c r="G13" s="1048"/>
      <c r="H13" s="43"/>
      <c r="I13" s="1049" t="s">
        <v>294</v>
      </c>
      <c r="M13" s="43"/>
      <c r="N13" s="135"/>
      <c r="O13" s="1050" t="s">
        <v>1340</v>
      </c>
      <c r="Q13" s="43"/>
      <c r="R13" s="135"/>
      <c r="S13" s="1041" t="s">
        <v>111</v>
      </c>
      <c r="W13" s="43"/>
      <c r="X13" s="135"/>
      <c r="Y13" s="1051" t="s">
        <v>1341</v>
      </c>
      <c r="AC13" s="1020"/>
      <c r="AD13" s="132"/>
      <c r="AE13" s="1052" t="s">
        <v>1342</v>
      </c>
      <c r="AF13" s="131"/>
      <c r="AG13" s="132"/>
      <c r="AH13" s="43"/>
      <c r="AI13" s="135"/>
      <c r="AJ13" s="1044" t="s">
        <v>1343</v>
      </c>
      <c r="AO13" s="135"/>
      <c r="AP13" s="43"/>
      <c r="AQ13" s="135"/>
      <c r="AR13" s="1047" t="s">
        <v>141</v>
      </c>
      <c r="BC13" s="44"/>
      <c r="BD13" s="135"/>
      <c r="BE13" s="1047" t="s">
        <v>108</v>
      </c>
      <c r="BF13" s="1047"/>
      <c r="BG13" s="1047"/>
      <c r="BH13" s="1047"/>
    </row>
    <row r="14">
      <c r="A14" s="1053" t="s">
        <v>31</v>
      </c>
      <c r="B14" s="1054" t="s">
        <v>32</v>
      </c>
      <c r="G14" s="1055" t="s">
        <v>16</v>
      </c>
      <c r="H14" s="43"/>
      <c r="I14" s="1049" t="s">
        <v>1328</v>
      </c>
      <c r="M14" s="43"/>
      <c r="N14" s="135"/>
      <c r="O14" s="1040" t="s">
        <v>1344</v>
      </c>
      <c r="Q14" s="43"/>
      <c r="R14" s="135"/>
      <c r="S14" s="1041" t="s">
        <v>1344</v>
      </c>
      <c r="U14" s="1041" t="s">
        <v>1345</v>
      </c>
      <c r="W14" s="43"/>
      <c r="X14" s="135"/>
      <c r="Y14" s="1056" t="s">
        <v>260</v>
      </c>
      <c r="AA14" s="1040" t="s">
        <v>1346</v>
      </c>
      <c r="AC14" s="1057" t="s">
        <v>320</v>
      </c>
      <c r="AD14" s="995"/>
      <c r="AE14" s="1058" t="s">
        <v>306</v>
      </c>
      <c r="AG14" s="135"/>
      <c r="AH14" s="43"/>
      <c r="AI14" s="135"/>
      <c r="AJ14" s="1059" t="s">
        <v>112</v>
      </c>
      <c r="AO14" s="135"/>
      <c r="AP14" s="43"/>
      <c r="AQ14" s="135"/>
      <c r="AR14" s="1047" t="s">
        <v>108</v>
      </c>
      <c r="BC14" s="44"/>
      <c r="BD14" s="135"/>
      <c r="BE14" s="1047" t="s">
        <v>25</v>
      </c>
      <c r="BF14" s="1047"/>
      <c r="BG14" s="1047"/>
      <c r="BH14" s="1047"/>
    </row>
    <row r="15">
      <c r="A15" s="158"/>
      <c r="B15" s="1060" t="s">
        <v>1347</v>
      </c>
      <c r="H15" s="43"/>
      <c r="I15" s="1049" t="s">
        <v>1329</v>
      </c>
      <c r="M15" s="43"/>
      <c r="N15" s="135"/>
      <c r="O15" s="1040" t="s">
        <v>1348</v>
      </c>
      <c r="Q15" s="43"/>
      <c r="R15" s="135"/>
      <c r="S15" s="1041" t="s">
        <v>1348</v>
      </c>
      <c r="U15" s="1041" t="s">
        <v>25</v>
      </c>
      <c r="W15" s="43"/>
      <c r="X15" s="135"/>
      <c r="Y15" s="1040" t="s">
        <v>25</v>
      </c>
      <c r="AA15" s="1040" t="s">
        <v>16</v>
      </c>
      <c r="AC15" s="43"/>
      <c r="AD15" s="135"/>
      <c r="AE15" s="1061" t="s">
        <v>294</v>
      </c>
      <c r="AG15" s="135"/>
      <c r="AH15" s="1020"/>
      <c r="AI15" s="132"/>
      <c r="AJ15" s="1062" t="s">
        <v>1347</v>
      </c>
      <c r="AK15" s="131"/>
      <c r="AL15" s="131"/>
      <c r="AM15" s="131"/>
      <c r="AN15" s="131"/>
      <c r="AO15" s="132"/>
      <c r="AP15" s="43"/>
      <c r="AQ15" s="135"/>
      <c r="AR15" s="1047" t="s">
        <v>1349</v>
      </c>
      <c r="AW15" s="1063" t="s">
        <v>25</v>
      </c>
      <c r="BC15" s="44"/>
      <c r="BD15" s="135"/>
      <c r="BE15" s="1064" t="s">
        <v>109</v>
      </c>
      <c r="BF15" s="1064"/>
      <c r="BG15" s="1064"/>
      <c r="BH15" s="1064"/>
    </row>
    <row r="16">
      <c r="A16" s="158"/>
      <c r="B16" s="1060" t="s">
        <v>111</v>
      </c>
      <c r="H16" s="43"/>
      <c r="I16" s="1065" t="s">
        <v>249</v>
      </c>
      <c r="M16" s="1020"/>
      <c r="N16" s="132"/>
      <c r="O16" s="1066" t="s">
        <v>1347</v>
      </c>
      <c r="P16" s="131"/>
      <c r="Q16" s="1020"/>
      <c r="R16" s="132"/>
      <c r="S16" s="1067" t="s">
        <v>1347</v>
      </c>
      <c r="T16" s="131"/>
      <c r="U16" s="131"/>
      <c r="V16" s="131"/>
      <c r="W16" s="43"/>
      <c r="X16" s="135"/>
      <c r="Y16" s="1068" t="s">
        <v>1347</v>
      </c>
      <c r="AC16" s="43"/>
      <c r="AD16" s="135"/>
      <c r="AE16" s="1061" t="s">
        <v>1350</v>
      </c>
      <c r="AG16" s="135"/>
      <c r="AH16" s="1023" t="s">
        <v>375</v>
      </c>
      <c r="AI16" s="995"/>
      <c r="AJ16" s="1024" t="s">
        <v>206</v>
      </c>
      <c r="AO16" s="135"/>
      <c r="AP16" s="43"/>
      <c r="AQ16" s="135"/>
      <c r="AR16" s="1064" t="s">
        <v>146</v>
      </c>
      <c r="BA16" s="1069" t="s">
        <v>109</v>
      </c>
      <c r="BC16" s="44"/>
      <c r="BD16" s="132"/>
      <c r="BE16" s="1070" t="s">
        <v>110</v>
      </c>
      <c r="BF16" s="1070"/>
      <c r="BG16" s="1070"/>
      <c r="BH16" s="1070"/>
    </row>
    <row r="17">
      <c r="A17" s="158"/>
      <c r="B17" s="1060" t="s">
        <v>1351</v>
      </c>
      <c r="D17" s="1071" t="s">
        <v>1340</v>
      </c>
      <c r="H17" s="43"/>
      <c r="I17" s="1072" t="s">
        <v>252</v>
      </c>
      <c r="M17" s="1073" t="s">
        <v>243</v>
      </c>
      <c r="N17" s="995"/>
      <c r="O17" s="1074" t="s">
        <v>244</v>
      </c>
      <c r="P17" s="992"/>
      <c r="Q17" s="1073" t="s">
        <v>243</v>
      </c>
      <c r="R17" s="995"/>
      <c r="S17" s="1075" t="s">
        <v>252</v>
      </c>
      <c r="W17" s="1020"/>
      <c r="X17" s="132"/>
      <c r="Y17" s="1068" t="s">
        <v>294</v>
      </c>
      <c r="AC17" s="1020"/>
      <c r="AD17" s="132"/>
      <c r="AE17" s="1076" t="s">
        <v>1352</v>
      </c>
      <c r="AF17" s="131"/>
      <c r="AG17" s="132"/>
      <c r="AH17" s="43"/>
      <c r="AI17" s="135"/>
      <c r="AJ17" s="1033" t="s">
        <v>16</v>
      </c>
      <c r="AO17" s="135"/>
      <c r="AP17" s="1020"/>
      <c r="AQ17" s="132"/>
      <c r="AR17" s="1070" t="s">
        <v>1353</v>
      </c>
      <c r="AS17" s="131"/>
      <c r="AT17" s="131"/>
      <c r="AU17" s="1077" t="s">
        <v>1354</v>
      </c>
      <c r="AV17" s="131"/>
      <c r="AW17" s="131"/>
      <c r="AX17" s="131"/>
      <c r="AY17" s="1077" t="s">
        <v>110</v>
      </c>
      <c r="AZ17" s="131"/>
      <c r="BA17" s="131"/>
      <c r="BB17" s="131"/>
      <c r="BC17" s="228"/>
      <c r="BD17" s="1078" t="s">
        <v>31</v>
      </c>
      <c r="BE17" s="1079" t="s">
        <v>32</v>
      </c>
      <c r="BF17" s="1079"/>
      <c r="BG17" s="1079"/>
      <c r="BH17" s="1079"/>
    </row>
    <row r="18">
      <c r="A18" s="1080" t="s">
        <v>161</v>
      </c>
      <c r="B18" s="1081" t="s">
        <v>172</v>
      </c>
      <c r="F18" s="1082" t="s">
        <v>206</v>
      </c>
      <c r="H18" s="1020"/>
      <c r="I18" s="1072" t="s">
        <v>1337</v>
      </c>
      <c r="M18" s="43"/>
      <c r="N18" s="135"/>
      <c r="O18" s="1083" t="s">
        <v>252</v>
      </c>
      <c r="Q18" s="43"/>
      <c r="R18" s="135"/>
      <c r="S18" s="1084" t="s">
        <v>244</v>
      </c>
      <c r="W18" s="1073" t="s">
        <v>243</v>
      </c>
      <c r="X18" s="995"/>
      <c r="Y18" s="1085" t="s">
        <v>206</v>
      </c>
      <c r="Z18" s="992"/>
      <c r="AA18" s="992"/>
      <c r="AB18" s="992"/>
      <c r="AC18" s="1029" t="s">
        <v>31</v>
      </c>
      <c r="AD18" s="995"/>
      <c r="AE18" s="1034" t="s">
        <v>32</v>
      </c>
      <c r="AH18" s="43"/>
      <c r="AI18" s="135"/>
      <c r="AJ18" s="1033" t="s">
        <v>440</v>
      </c>
      <c r="AO18" s="135"/>
      <c r="AP18" s="1029" t="s">
        <v>31</v>
      </c>
      <c r="AQ18" s="995"/>
      <c r="AR18" s="1032" t="s">
        <v>32</v>
      </c>
      <c r="AS18" s="992"/>
      <c r="AT18" s="992"/>
      <c r="AU18" s="992"/>
      <c r="AV18" s="992"/>
      <c r="AW18" s="992"/>
      <c r="AX18" s="992"/>
      <c r="AY18" s="992"/>
      <c r="AZ18" s="992"/>
      <c r="BA18" s="992"/>
      <c r="BB18" s="992"/>
      <c r="BC18" s="999"/>
      <c r="BD18" s="135"/>
      <c r="BE18" s="1042" t="s">
        <v>111</v>
      </c>
      <c r="BF18" s="1042"/>
      <c r="BG18" s="1042"/>
      <c r="BH18" s="1042"/>
    </row>
    <row r="19">
      <c r="A19" s="158"/>
      <c r="B19" s="1086" t="s">
        <v>1355</v>
      </c>
      <c r="E19" s="1087" t="s">
        <v>197</v>
      </c>
      <c r="H19" s="1029" t="s">
        <v>31</v>
      </c>
      <c r="I19" s="1088" t="s">
        <v>111</v>
      </c>
      <c r="M19" s="43"/>
      <c r="N19" s="135"/>
      <c r="O19" s="1089" t="s">
        <v>249</v>
      </c>
      <c r="Q19" s="43"/>
      <c r="R19" s="135"/>
      <c r="S19" s="1089" t="s">
        <v>249</v>
      </c>
      <c r="W19" s="43"/>
      <c r="X19" s="135"/>
      <c r="Y19" s="1083" t="s">
        <v>1167</v>
      </c>
      <c r="AC19" s="43"/>
      <c r="AD19" s="135"/>
      <c r="AE19" s="1044" t="s">
        <v>111</v>
      </c>
      <c r="AH19" s="1020"/>
      <c r="AI19" s="132"/>
      <c r="AJ19" s="1033" t="s">
        <v>1356</v>
      </c>
      <c r="AO19" s="135"/>
      <c r="AP19" s="43"/>
      <c r="AQ19" s="135"/>
      <c r="AR19" s="1042" t="s">
        <v>111</v>
      </c>
      <c r="BC19" s="44"/>
      <c r="BD19" s="135"/>
      <c r="BE19" s="1044" t="s">
        <v>112</v>
      </c>
      <c r="BF19" s="1044"/>
      <c r="BG19" s="1044"/>
      <c r="BH19" s="1044"/>
    </row>
    <row r="20">
      <c r="A20" s="158"/>
      <c r="B20" s="1086" t="s">
        <v>162</v>
      </c>
      <c r="H20" s="43"/>
      <c r="I20" s="1090" t="s">
        <v>1347</v>
      </c>
      <c r="M20" s="43"/>
      <c r="N20" s="135"/>
      <c r="O20" s="1091" t="s">
        <v>1357</v>
      </c>
      <c r="Q20" s="43"/>
      <c r="R20" s="135"/>
      <c r="S20" s="1091" t="s">
        <v>1357</v>
      </c>
      <c r="W20" s="43"/>
      <c r="X20" s="135"/>
      <c r="Y20" s="1089" t="s">
        <v>249</v>
      </c>
      <c r="AC20" s="43"/>
      <c r="AD20" s="135"/>
      <c r="AE20" s="1044" t="s">
        <v>1343</v>
      </c>
      <c r="AH20" s="1092" t="s">
        <v>24</v>
      </c>
      <c r="AI20" s="995"/>
      <c r="AJ20" s="1037" t="s">
        <v>25</v>
      </c>
      <c r="AO20" s="135"/>
      <c r="AP20" s="43"/>
      <c r="AQ20" s="135"/>
      <c r="AR20" s="1044" t="s">
        <v>112</v>
      </c>
      <c r="BC20" s="44"/>
      <c r="BD20" s="135"/>
      <c r="BE20" s="1044" t="s">
        <v>113</v>
      </c>
      <c r="BF20" s="1044"/>
      <c r="BG20" s="1044"/>
      <c r="BH20" s="1044"/>
    </row>
    <row r="21">
      <c r="A21" s="158"/>
      <c r="B21" s="1086" t="s">
        <v>182</v>
      </c>
      <c r="H21" s="43"/>
      <c r="I21" s="1090" t="s">
        <v>282</v>
      </c>
      <c r="M21" s="43"/>
      <c r="N21" s="135"/>
      <c r="O21" s="1084" t="s">
        <v>260</v>
      </c>
      <c r="Q21" s="43"/>
      <c r="R21" s="135"/>
      <c r="S21" s="1093" t="s">
        <v>260</v>
      </c>
      <c r="U21" s="1094" t="s">
        <v>1358</v>
      </c>
      <c r="W21" s="43"/>
      <c r="X21" s="135"/>
      <c r="Y21" s="1093" t="s">
        <v>1358</v>
      </c>
      <c r="AA21" s="1093" t="s">
        <v>326</v>
      </c>
      <c r="AC21" s="1020"/>
      <c r="AD21" s="132"/>
      <c r="AE21" s="1062" t="s">
        <v>112</v>
      </c>
      <c r="AF21" s="131"/>
      <c r="AG21" s="131"/>
      <c r="AH21" s="43"/>
      <c r="AI21" s="135"/>
      <c r="AJ21" s="1095" t="s">
        <v>141</v>
      </c>
      <c r="AO21" s="135"/>
      <c r="AP21" s="43"/>
      <c r="AQ21" s="135"/>
      <c r="AR21" s="1044" t="s">
        <v>1359</v>
      </c>
      <c r="AY21" s="1096" t="s">
        <v>98</v>
      </c>
      <c r="BB21" s="1096" t="s">
        <v>113</v>
      </c>
      <c r="BC21" s="44"/>
      <c r="BD21" s="132"/>
      <c r="BE21" s="1062" t="s">
        <v>114</v>
      </c>
      <c r="BF21" s="1062"/>
      <c r="BG21" s="1062"/>
      <c r="BH21" s="1062"/>
    </row>
    <row r="22">
      <c r="A22" s="1097" t="s">
        <v>175</v>
      </c>
      <c r="B22" s="1098" t="s">
        <v>1157</v>
      </c>
      <c r="D22" s="1098" t="s">
        <v>1273</v>
      </c>
      <c r="H22" s="1020"/>
      <c r="I22" s="1090" t="s">
        <v>16</v>
      </c>
      <c r="M22" s="1020"/>
      <c r="N22" s="132"/>
      <c r="O22" s="1099" t="s">
        <v>262</v>
      </c>
      <c r="P22" s="131"/>
      <c r="Q22" s="1020"/>
      <c r="R22" s="132"/>
      <c r="S22" s="1099" t="s">
        <v>262</v>
      </c>
      <c r="T22" s="131"/>
      <c r="U22" s="131"/>
      <c r="V22" s="131"/>
      <c r="W22" s="1020"/>
      <c r="X22" s="132"/>
      <c r="Y22" s="1093" t="s">
        <v>252</v>
      </c>
      <c r="AA22" s="1093" t="s">
        <v>930</v>
      </c>
      <c r="AB22" s="1100" t="s">
        <v>244</v>
      </c>
      <c r="AC22" s="1101" t="s">
        <v>255</v>
      </c>
      <c r="AD22" s="995"/>
      <c r="AE22" s="1102" t="s">
        <v>201</v>
      </c>
      <c r="AH22" s="1020"/>
      <c r="AI22" s="132"/>
      <c r="AJ22" s="1103" t="s">
        <v>1360</v>
      </c>
      <c r="AK22" s="131"/>
      <c r="AL22" s="131"/>
      <c r="AM22" s="131"/>
      <c r="AN22" s="131"/>
      <c r="AO22" s="132"/>
      <c r="AP22" s="1020"/>
      <c r="AQ22" s="132"/>
      <c r="AR22" s="1062" t="s">
        <v>114</v>
      </c>
      <c r="AS22" s="131"/>
      <c r="AT22" s="131"/>
      <c r="AU22" s="131"/>
      <c r="AV22" s="131"/>
      <c r="AW22" s="131"/>
      <c r="AX22" s="131"/>
      <c r="AY22" s="131"/>
      <c r="AZ22" s="131"/>
      <c r="BA22" s="131"/>
      <c r="BB22" s="131"/>
      <c r="BC22" s="228"/>
      <c r="BD22" s="1104" t="s">
        <v>36</v>
      </c>
      <c r="BE22" s="1105" t="s">
        <v>100</v>
      </c>
      <c r="BF22" s="1105"/>
      <c r="BG22" s="1105"/>
      <c r="BH22" s="1105"/>
    </row>
    <row r="23">
      <c r="A23" s="813"/>
      <c r="B23" s="1106" t="s">
        <v>1361</v>
      </c>
      <c r="E23" s="1106" t="s">
        <v>109</v>
      </c>
      <c r="H23" s="1107" t="s">
        <v>1289</v>
      </c>
      <c r="I23" s="1108" t="s">
        <v>244</v>
      </c>
      <c r="J23" s="1109" t="s">
        <v>1359</v>
      </c>
      <c r="M23" s="1110" t="s">
        <v>255</v>
      </c>
      <c r="N23" s="995"/>
      <c r="O23" s="1111" t="s">
        <v>1328</v>
      </c>
      <c r="P23" s="992"/>
      <c r="Q23" s="1110" t="s">
        <v>255</v>
      </c>
      <c r="R23" s="995"/>
      <c r="S23" s="1112" t="s">
        <v>308</v>
      </c>
      <c r="W23" s="1110" t="s">
        <v>255</v>
      </c>
      <c r="X23" s="995"/>
      <c r="Y23" s="1112" t="s">
        <v>308</v>
      </c>
      <c r="AB23" s="135"/>
      <c r="AC23" s="131"/>
      <c r="AD23" s="132"/>
      <c r="AE23" s="1113" t="s">
        <v>235</v>
      </c>
      <c r="AF23" s="1114" t="s">
        <v>48</v>
      </c>
      <c r="AG23" s="131"/>
      <c r="AH23" s="1115" t="s">
        <v>214</v>
      </c>
      <c r="AI23" s="995"/>
      <c r="AJ23" s="1116" t="s">
        <v>1333</v>
      </c>
      <c r="AK23" s="992"/>
      <c r="AL23" s="992"/>
      <c r="AM23" s="992"/>
      <c r="AN23" s="1116" t="s">
        <v>796</v>
      </c>
      <c r="AO23" s="992"/>
      <c r="AP23" s="1117" t="s">
        <v>36</v>
      </c>
      <c r="AQ23" s="995"/>
      <c r="AR23" s="1118" t="s">
        <v>100</v>
      </c>
      <c r="AS23" s="992"/>
      <c r="AT23" s="992"/>
      <c r="AU23" s="992"/>
      <c r="AV23" s="992"/>
      <c r="AW23" s="992"/>
      <c r="AX23" s="992"/>
      <c r="AY23" s="992"/>
      <c r="AZ23" s="992"/>
      <c r="BA23" s="992"/>
      <c r="BB23" s="992"/>
      <c r="BC23" s="999"/>
      <c r="BD23" s="135"/>
      <c r="BE23" s="1119" t="s">
        <v>37</v>
      </c>
      <c r="BF23" s="1119"/>
      <c r="BG23" s="1119"/>
      <c r="BH23" s="1119"/>
    </row>
    <row r="24">
      <c r="A24" s="813"/>
      <c r="B24" s="1106" t="s">
        <v>97</v>
      </c>
      <c r="H24" s="1009"/>
      <c r="I24" s="1120" t="s">
        <v>1362</v>
      </c>
      <c r="M24" s="43"/>
      <c r="N24" s="135"/>
      <c r="O24" s="1121" t="s">
        <v>308</v>
      </c>
      <c r="Q24" s="43"/>
      <c r="R24" s="135"/>
      <c r="S24" s="1122" t="s">
        <v>48</v>
      </c>
      <c r="W24" s="43"/>
      <c r="X24" s="135"/>
      <c r="Y24" s="1121" t="s">
        <v>201</v>
      </c>
      <c r="AB24" s="135"/>
      <c r="AC24" s="1092" t="s">
        <v>333</v>
      </c>
      <c r="AD24" s="995"/>
      <c r="AE24" s="1037" t="s">
        <v>25</v>
      </c>
      <c r="AH24" s="43"/>
      <c r="AI24" s="135"/>
      <c r="AJ24" s="1123" t="s">
        <v>97</v>
      </c>
      <c r="AO24" s="135"/>
      <c r="AP24" s="43"/>
      <c r="AQ24" s="135"/>
      <c r="AR24" s="1119" t="s">
        <v>37</v>
      </c>
      <c r="BC24" s="44"/>
      <c r="BD24" s="135"/>
      <c r="BE24" s="1124" t="s">
        <v>102</v>
      </c>
      <c r="BF24" s="1125"/>
      <c r="BG24" s="1125"/>
      <c r="BH24" s="1125"/>
    </row>
    <row r="25">
      <c r="A25" s="813"/>
      <c r="B25" s="1126" t="s">
        <v>176</v>
      </c>
      <c r="H25" s="1026"/>
      <c r="I25" s="1127" t="s">
        <v>1147</v>
      </c>
      <c r="M25" s="1020"/>
      <c r="N25" s="132"/>
      <c r="O25" s="1121" t="s">
        <v>201</v>
      </c>
      <c r="Q25" s="1020"/>
      <c r="R25" s="132"/>
      <c r="S25" s="1121" t="s">
        <v>201</v>
      </c>
      <c r="W25" s="1020"/>
      <c r="X25" s="132"/>
      <c r="Y25" s="1121" t="s">
        <v>48</v>
      </c>
      <c r="AB25" s="135"/>
      <c r="AC25" s="1020"/>
      <c r="AD25" s="132"/>
      <c r="AE25" s="1103" t="s">
        <v>141</v>
      </c>
      <c r="AF25" s="131"/>
      <c r="AG25" s="131"/>
      <c r="AH25" s="1020"/>
      <c r="AI25" s="132"/>
      <c r="AJ25" s="1128" t="s">
        <v>930</v>
      </c>
      <c r="AK25" s="131"/>
      <c r="AL25" s="131"/>
      <c r="AM25" s="131"/>
      <c r="AN25" s="131"/>
      <c r="AO25" s="132"/>
      <c r="AP25" s="43"/>
      <c r="AQ25" s="135"/>
      <c r="AR25" s="1125" t="s">
        <v>1363</v>
      </c>
      <c r="AS25" s="1129"/>
      <c r="AT25" s="1130" t="s">
        <v>48</v>
      </c>
      <c r="AV25" s="1131" t="s">
        <v>102</v>
      </c>
      <c r="BC25" s="44"/>
      <c r="BD25" s="132"/>
      <c r="BE25" s="1021" t="s">
        <v>101</v>
      </c>
      <c r="BF25" s="1021"/>
      <c r="BG25" s="1021"/>
      <c r="BH25" s="1021"/>
    </row>
    <row r="26">
      <c r="A26" s="1132" t="s">
        <v>169</v>
      </c>
      <c r="B26" s="1133" t="s">
        <v>195</v>
      </c>
      <c r="G26" s="1134" t="s">
        <v>101</v>
      </c>
      <c r="H26" s="1135" t="s">
        <v>169</v>
      </c>
      <c r="I26" s="1134" t="s">
        <v>195</v>
      </c>
      <c r="M26" s="1136" t="s">
        <v>1303</v>
      </c>
      <c r="N26" s="1137"/>
      <c r="O26" s="1138" t="s">
        <v>1305</v>
      </c>
      <c r="P26" s="1139"/>
      <c r="Q26" s="1136" t="s">
        <v>1303</v>
      </c>
      <c r="R26" s="1137"/>
      <c r="S26" s="1138" t="s">
        <v>1305</v>
      </c>
      <c r="T26" s="1139"/>
      <c r="U26" s="1139"/>
      <c r="V26" s="1139"/>
      <c r="W26" s="1136" t="s">
        <v>1303</v>
      </c>
      <c r="X26" s="1137"/>
      <c r="Y26" s="1138" t="s">
        <v>1305</v>
      </c>
      <c r="Z26" s="1139"/>
      <c r="AA26" s="1139"/>
      <c r="AB26" s="1139"/>
      <c r="AC26" s="989" t="s">
        <v>214</v>
      </c>
      <c r="AD26" s="135"/>
      <c r="AE26" s="1140" t="s">
        <v>1334</v>
      </c>
      <c r="AH26" s="1110" t="s">
        <v>255</v>
      </c>
      <c r="AI26" s="995"/>
      <c r="AJ26" s="1102" t="s">
        <v>201</v>
      </c>
      <c r="AP26" s="43"/>
      <c r="AQ26" s="135"/>
      <c r="AR26" s="1011" t="s">
        <v>201</v>
      </c>
      <c r="AV26" s="1141" t="s">
        <v>101</v>
      </c>
      <c r="BC26" s="44"/>
      <c r="BD26" s="1142" t="s">
        <v>47</v>
      </c>
      <c r="BE26" s="1143" t="s">
        <v>48</v>
      </c>
      <c r="BF26" s="1143"/>
      <c r="BG26" s="1143"/>
      <c r="BH26" s="1143"/>
    </row>
    <row r="27">
      <c r="A27" s="813"/>
      <c r="B27" s="1144" t="s">
        <v>1364</v>
      </c>
      <c r="H27" s="1009"/>
      <c r="I27" s="1144" t="s">
        <v>1364</v>
      </c>
      <c r="M27" s="1145" t="s">
        <v>258</v>
      </c>
      <c r="N27" s="1137"/>
      <c r="O27" s="1146" t="s">
        <v>176</v>
      </c>
      <c r="P27" s="1139"/>
      <c r="Q27" s="1145" t="s">
        <v>258</v>
      </c>
      <c r="R27" s="1137"/>
      <c r="S27" s="1146" t="s">
        <v>176</v>
      </c>
      <c r="T27" s="1139"/>
      <c r="U27" s="1139"/>
      <c r="V27" s="1139"/>
      <c r="W27" s="1145" t="s">
        <v>258</v>
      </c>
      <c r="X27" s="1137"/>
      <c r="Y27" s="1146" t="s">
        <v>176</v>
      </c>
      <c r="Z27" s="1139"/>
      <c r="AA27" s="1139"/>
      <c r="AB27" s="1139"/>
      <c r="AC27" s="1020"/>
      <c r="AD27" s="132"/>
      <c r="AE27" s="1128" t="s">
        <v>97</v>
      </c>
      <c r="AF27" s="131"/>
      <c r="AG27" s="131"/>
      <c r="AH27" s="1020"/>
      <c r="AI27" s="132"/>
      <c r="AJ27" s="1113" t="s">
        <v>48</v>
      </c>
      <c r="AK27" s="131"/>
      <c r="AL27" s="131"/>
      <c r="AM27" s="131"/>
      <c r="AN27" s="131"/>
      <c r="AO27" s="131"/>
      <c r="AP27" s="1020"/>
      <c r="AQ27" s="132"/>
      <c r="AR27" s="1119" t="s">
        <v>252</v>
      </c>
      <c r="AY27" s="1147" t="s">
        <v>1112</v>
      </c>
      <c r="AZ27" s="1148" t="s">
        <v>1365</v>
      </c>
      <c r="BA27" s="131"/>
      <c r="BB27" s="131"/>
      <c r="BC27" s="228"/>
      <c r="BD27" s="132"/>
      <c r="BE27" s="1149" t="s">
        <v>201</v>
      </c>
      <c r="BF27" s="1149"/>
      <c r="BG27" s="1149"/>
      <c r="BH27" s="1149"/>
    </row>
    <row r="28">
      <c r="A28" s="813"/>
      <c r="B28" s="1144" t="s">
        <v>308</v>
      </c>
      <c r="H28" s="1026"/>
      <c r="I28" s="1144" t="s">
        <v>308</v>
      </c>
      <c r="M28" s="1150" t="s">
        <v>274</v>
      </c>
      <c r="N28" s="1137"/>
      <c r="O28" s="1151" t="s">
        <v>101</v>
      </c>
      <c r="P28" s="1139"/>
      <c r="Q28" s="1150" t="s">
        <v>274</v>
      </c>
      <c r="R28" s="1137"/>
      <c r="S28" s="1151" t="s">
        <v>101</v>
      </c>
      <c r="T28" s="1139"/>
      <c r="U28" s="1139"/>
      <c r="V28" s="1139"/>
      <c r="W28" s="1150" t="s">
        <v>274</v>
      </c>
      <c r="X28" s="1137"/>
      <c r="Y28" s="1151" t="s">
        <v>101</v>
      </c>
      <c r="Z28" s="1139"/>
      <c r="AA28" s="1139"/>
      <c r="AB28" s="1139"/>
      <c r="AC28" s="1152" t="s">
        <v>115</v>
      </c>
      <c r="AD28" s="1137"/>
      <c r="AE28" s="1153" t="s">
        <v>116</v>
      </c>
      <c r="AF28" s="131"/>
      <c r="AG28" s="131"/>
      <c r="AH28" s="1152" t="s">
        <v>115</v>
      </c>
      <c r="AI28" s="1137"/>
      <c r="AJ28" s="1153" t="s">
        <v>116</v>
      </c>
      <c r="AK28" s="131"/>
      <c r="AL28" s="131"/>
      <c r="AM28" s="131"/>
      <c r="AN28" s="131"/>
      <c r="AO28" s="131"/>
      <c r="AP28" s="1154" t="s">
        <v>47</v>
      </c>
      <c r="AQ28" s="995"/>
      <c r="AR28" s="1015" t="s">
        <v>1366</v>
      </c>
      <c r="AV28" s="1155" t="s">
        <v>48</v>
      </c>
      <c r="AW28" s="992"/>
      <c r="AX28" s="992"/>
      <c r="AY28" s="992"/>
      <c r="AZ28" s="992"/>
      <c r="BA28" s="992"/>
      <c r="BB28" s="992"/>
      <c r="BC28" s="999"/>
      <c r="BD28" s="1156" t="s">
        <v>115</v>
      </c>
      <c r="BE28" s="1157" t="s">
        <v>116</v>
      </c>
      <c r="BF28" s="1158" t="s">
        <v>1367</v>
      </c>
      <c r="BG28" s="1159"/>
      <c r="BH28" s="1159"/>
    </row>
    <row r="29">
      <c r="A29" s="1160" t="s">
        <v>228</v>
      </c>
      <c r="B29" s="1161" t="s">
        <v>1150</v>
      </c>
      <c r="H29" s="1162" t="s">
        <v>228</v>
      </c>
      <c r="I29" s="1161" t="s">
        <v>1150</v>
      </c>
      <c r="L29" s="44"/>
      <c r="M29" s="1163"/>
      <c r="N29" s="808"/>
      <c r="O29" s="808"/>
      <c r="P29" s="808"/>
      <c r="Q29" s="808"/>
      <c r="R29" s="808"/>
      <c r="S29" s="808"/>
      <c r="T29" s="808"/>
      <c r="U29" s="808"/>
      <c r="V29" s="808"/>
      <c r="W29" s="808"/>
      <c r="X29" s="808"/>
      <c r="Y29" s="808"/>
      <c r="Z29" s="808"/>
      <c r="AA29" s="808"/>
      <c r="AB29" s="808"/>
      <c r="AC29" s="808"/>
      <c r="AD29" s="808"/>
      <c r="AE29" s="808"/>
      <c r="AF29" s="808"/>
      <c r="AG29" s="808"/>
      <c r="AH29" s="808"/>
      <c r="AI29" s="808"/>
      <c r="AJ29" s="808"/>
      <c r="AK29" s="808"/>
      <c r="AL29" s="808"/>
      <c r="AM29" s="808"/>
      <c r="AN29" s="808"/>
      <c r="AO29" s="808"/>
      <c r="AP29" s="1020"/>
      <c r="AQ29" s="132"/>
      <c r="AR29" s="1164" t="s">
        <v>1368</v>
      </c>
      <c r="AZ29" s="1165" t="s">
        <v>201</v>
      </c>
      <c r="BC29" s="44"/>
      <c r="BD29" s="1166" t="s">
        <v>53</v>
      </c>
      <c r="BE29" s="1167" t="s">
        <v>1369</v>
      </c>
      <c r="BF29" s="1168" t="s">
        <v>116</v>
      </c>
      <c r="BG29" s="1168"/>
      <c r="BH29" s="1168"/>
    </row>
    <row r="30">
      <c r="A30" s="813"/>
      <c r="B30" s="1169" t="s">
        <v>229</v>
      </c>
      <c r="H30" s="1009"/>
      <c r="I30" s="1169" t="s">
        <v>229</v>
      </c>
      <c r="L30" s="44"/>
      <c r="M30" s="1170"/>
      <c r="N30" s="809"/>
      <c r="O30" s="1170"/>
      <c r="P30" s="809"/>
      <c r="Q30" s="809"/>
      <c r="R30" s="809"/>
      <c r="S30" s="809"/>
      <c r="T30" s="809"/>
      <c r="U30" s="809"/>
      <c r="V30" s="809"/>
      <c r="W30" s="809"/>
      <c r="X30" s="809"/>
      <c r="Y30" s="809"/>
      <c r="Z30" s="809"/>
      <c r="AA30" s="809"/>
      <c r="AB30" s="809"/>
      <c r="AC30" s="809"/>
      <c r="AD30" s="809"/>
      <c r="AE30" s="809"/>
      <c r="AF30" s="809"/>
      <c r="AG30" s="809"/>
      <c r="AH30" s="809"/>
      <c r="AI30" s="809"/>
      <c r="AJ30" s="809"/>
      <c r="AK30" s="809"/>
      <c r="AL30" s="809"/>
      <c r="AM30" s="809"/>
      <c r="AN30" s="809"/>
      <c r="AO30" s="809"/>
      <c r="AP30" s="1152" t="s">
        <v>115</v>
      </c>
      <c r="AQ30" s="1137"/>
      <c r="AR30" s="1171" t="s">
        <v>116</v>
      </c>
      <c r="AS30" s="1139"/>
      <c r="AT30" s="1139"/>
      <c r="AU30" s="1139"/>
      <c r="AV30" s="1139"/>
      <c r="AW30" s="1139"/>
      <c r="AX30" s="1139"/>
      <c r="AY30" s="1139"/>
      <c r="AZ30" s="1139"/>
      <c r="BA30" s="1139"/>
      <c r="BB30" s="1139"/>
      <c r="BC30" s="1172"/>
      <c r="BD30" s="808"/>
      <c r="BE30" s="808"/>
      <c r="BF30" s="808"/>
      <c r="BG30" s="808"/>
      <c r="BH30" s="808"/>
    </row>
    <row r="31">
      <c r="A31" s="813"/>
      <c r="B31" s="1169" t="s">
        <v>1370</v>
      </c>
      <c r="H31" s="1026"/>
      <c r="I31" s="1169" t="s">
        <v>1370</v>
      </c>
      <c r="L31" s="44"/>
      <c r="M31" s="1170"/>
      <c r="N31" s="809"/>
      <c r="O31" s="809"/>
      <c r="P31" s="809"/>
      <c r="Q31" s="809"/>
      <c r="R31" s="809"/>
      <c r="S31" s="809"/>
      <c r="T31" s="809"/>
      <c r="U31" s="809"/>
      <c r="V31" s="809"/>
      <c r="W31" s="809"/>
      <c r="X31" s="809"/>
      <c r="Y31" s="809"/>
      <c r="Z31" s="809"/>
      <c r="AA31" s="809"/>
      <c r="AB31" s="809"/>
      <c r="AC31" s="809"/>
      <c r="AD31" s="809"/>
      <c r="AE31" s="809"/>
      <c r="AF31" s="809"/>
      <c r="AG31" s="809"/>
      <c r="AH31" s="809"/>
      <c r="AI31" s="809"/>
      <c r="AJ31" s="809"/>
      <c r="AK31" s="809"/>
      <c r="AL31" s="809"/>
      <c r="AM31" s="809"/>
      <c r="AN31" s="809"/>
      <c r="AO31" s="809"/>
      <c r="AP31" s="809"/>
      <c r="AQ31" s="809"/>
      <c r="AR31" s="808"/>
      <c r="AS31" s="808"/>
      <c r="AT31" s="808"/>
      <c r="AU31" s="808"/>
      <c r="AV31" s="808"/>
      <c r="AW31" s="808"/>
      <c r="AX31" s="808"/>
      <c r="AY31" s="808"/>
      <c r="AZ31" s="808"/>
      <c r="BA31" s="808"/>
      <c r="BB31" s="808"/>
      <c r="BC31" s="809"/>
      <c r="BD31" s="809"/>
      <c r="BE31" s="809"/>
      <c r="BF31" s="809"/>
      <c r="BG31" s="809"/>
      <c r="BH31" s="809"/>
    </row>
    <row r="32">
      <c r="A32" s="1173" t="s">
        <v>234</v>
      </c>
      <c r="B32" s="1174" t="s">
        <v>1106</v>
      </c>
      <c r="D32" s="1174" t="s">
        <v>1249</v>
      </c>
      <c r="H32" s="1175" t="s">
        <v>234</v>
      </c>
      <c r="I32" s="1174" t="s">
        <v>1249</v>
      </c>
      <c r="L32" s="44"/>
      <c r="M32" s="1176" t="s">
        <v>29</v>
      </c>
      <c r="N32" s="1177"/>
      <c r="O32" s="1178" t="s">
        <v>1371</v>
      </c>
      <c r="P32" s="1179"/>
      <c r="Q32" s="1176" t="s">
        <v>586</v>
      </c>
      <c r="R32" s="1177"/>
      <c r="S32" s="1178" t="s">
        <v>1371</v>
      </c>
      <c r="T32" s="1179"/>
      <c r="U32" s="1179"/>
      <c r="V32" s="1179"/>
      <c r="W32" s="1176" t="s">
        <v>586</v>
      </c>
      <c r="X32" s="1177"/>
      <c r="Y32" s="1178" t="s">
        <v>1372</v>
      </c>
      <c r="Z32" s="1179"/>
      <c r="AA32" s="1179"/>
      <c r="AB32" s="1179"/>
      <c r="AC32" s="1176" t="s">
        <v>29</v>
      </c>
      <c r="AD32" s="1177"/>
      <c r="AE32" s="1178" t="s">
        <v>1373</v>
      </c>
      <c r="AF32" s="1179"/>
      <c r="AG32" s="1179"/>
      <c r="AH32" s="1176" t="s">
        <v>586</v>
      </c>
      <c r="AI32" s="1177"/>
      <c r="AJ32" s="1178" t="s">
        <v>1372</v>
      </c>
      <c r="AK32" s="1179"/>
      <c r="AL32" s="1179"/>
      <c r="AM32" s="1179"/>
      <c r="AN32" s="1179"/>
      <c r="AO32" s="1179"/>
      <c r="AP32" s="1180" t="s">
        <v>29</v>
      </c>
      <c r="AQ32" s="1181"/>
      <c r="AR32" s="1182" t="s">
        <v>1374</v>
      </c>
      <c r="AS32" s="1183"/>
      <c r="AT32" s="1183"/>
      <c r="AU32" s="1183"/>
      <c r="AV32" s="1183"/>
      <c r="AW32" s="1183"/>
      <c r="AX32" s="1183"/>
      <c r="AY32" s="1183"/>
      <c r="AZ32" s="1183"/>
      <c r="BA32" s="1183"/>
      <c r="BB32" s="1183"/>
      <c r="BC32" s="1184"/>
      <c r="BD32" s="1185" t="s">
        <v>586</v>
      </c>
      <c r="BE32" s="1182" t="s">
        <v>1374</v>
      </c>
      <c r="BF32" s="1183"/>
      <c r="BG32" s="1183"/>
      <c r="BH32" s="1183"/>
    </row>
    <row r="33">
      <c r="A33" s="135"/>
      <c r="B33" s="1186" t="s">
        <v>1375</v>
      </c>
      <c r="H33" s="1009"/>
      <c r="I33" s="1186" t="s">
        <v>1375</v>
      </c>
      <c r="L33" s="44"/>
      <c r="M33" s="989" t="s">
        <v>214</v>
      </c>
      <c r="N33" s="135"/>
      <c r="O33" s="1187" t="s">
        <v>182</v>
      </c>
      <c r="P33" s="1139"/>
      <c r="Q33" s="989" t="s">
        <v>214</v>
      </c>
      <c r="R33" s="135"/>
      <c r="S33" s="1187" t="s">
        <v>182</v>
      </c>
      <c r="T33" s="1139"/>
      <c r="U33" s="1139"/>
      <c r="V33" s="1139"/>
      <c r="W33" s="989" t="s">
        <v>214</v>
      </c>
      <c r="X33" s="135"/>
      <c r="Y33" s="1188" t="s">
        <v>1376</v>
      </c>
      <c r="Z33" s="992"/>
      <c r="AA33" s="992"/>
      <c r="AB33" s="992"/>
      <c r="AC33" s="1189" t="s">
        <v>36</v>
      </c>
      <c r="AD33" s="132"/>
      <c r="AE33" s="1190" t="s">
        <v>674</v>
      </c>
      <c r="AF33" s="131"/>
      <c r="AG33" s="131"/>
      <c r="AH33" s="1189" t="s">
        <v>36</v>
      </c>
      <c r="AI33" s="132"/>
      <c r="AJ33" s="1190" t="s">
        <v>674</v>
      </c>
      <c r="AK33" s="131"/>
      <c r="AL33" s="131"/>
      <c r="AM33" s="131"/>
      <c r="AN33" s="131"/>
      <c r="AO33" s="131"/>
      <c r="AP33" s="1191" t="s">
        <v>15</v>
      </c>
      <c r="AQ33" s="1137"/>
      <c r="AR33" s="1192" t="s">
        <v>440</v>
      </c>
      <c r="AS33" s="131"/>
      <c r="AT33" s="131"/>
      <c r="AU33" s="131"/>
      <c r="AV33" s="131"/>
      <c r="AW33" s="131"/>
      <c r="AX33" s="131"/>
      <c r="AY33" s="131"/>
      <c r="AZ33" s="131"/>
      <c r="BA33" s="131"/>
      <c r="BB33" s="131"/>
      <c r="BC33" s="228"/>
      <c r="BD33" s="1193" t="s">
        <v>15</v>
      </c>
      <c r="BE33" s="1194" t="s">
        <v>440</v>
      </c>
      <c r="BF33" s="1192"/>
      <c r="BG33" s="1192"/>
      <c r="BH33" s="1195"/>
    </row>
    <row r="34">
      <c r="A34" s="135"/>
      <c r="B34" s="1186" t="s">
        <v>1377</v>
      </c>
      <c r="D34" s="1186" t="s">
        <v>1378</v>
      </c>
      <c r="H34" s="1026"/>
      <c r="I34" s="1186" t="s">
        <v>1378</v>
      </c>
      <c r="L34" s="44"/>
      <c r="M34" s="1196" t="s">
        <v>31</v>
      </c>
      <c r="N34" s="1137"/>
      <c r="O34" s="1197" t="s">
        <v>32</v>
      </c>
      <c r="P34" s="1139"/>
      <c r="Q34" s="1196" t="s">
        <v>31</v>
      </c>
      <c r="R34" s="1137"/>
      <c r="S34" s="1197" t="s">
        <v>16</v>
      </c>
      <c r="T34" s="1139"/>
      <c r="U34" s="1139"/>
      <c r="V34" s="1139"/>
      <c r="W34" s="1196" t="s">
        <v>31</v>
      </c>
      <c r="X34" s="1137"/>
      <c r="Y34" s="1198" t="s">
        <v>111</v>
      </c>
      <c r="AB34" s="1199" t="s">
        <v>1346</v>
      </c>
      <c r="AC34" s="1200" t="s">
        <v>375</v>
      </c>
      <c r="AD34" s="1137"/>
      <c r="AE34" s="1201" t="s">
        <v>206</v>
      </c>
      <c r="AF34" s="131"/>
      <c r="AG34" s="131"/>
      <c r="AH34" s="1202" t="s">
        <v>375</v>
      </c>
      <c r="AI34" s="1137"/>
      <c r="AJ34" s="1201" t="s">
        <v>440</v>
      </c>
      <c r="AK34" s="131"/>
      <c r="AL34" s="131"/>
      <c r="AM34" s="131"/>
      <c r="AN34" s="131"/>
      <c r="AO34" s="131"/>
      <c r="AP34" s="1203" t="s">
        <v>24</v>
      </c>
      <c r="AQ34" s="1137"/>
      <c r="AR34" s="1204" t="s">
        <v>25</v>
      </c>
      <c r="AS34" s="1139"/>
      <c r="AT34" s="1139"/>
      <c r="AU34" s="1139"/>
      <c r="AV34" s="1139"/>
      <c r="AW34" s="1205" t="s">
        <v>106</v>
      </c>
      <c r="AX34" s="1139"/>
      <c r="AY34" s="1139"/>
      <c r="AZ34" s="1139"/>
      <c r="BA34" s="1139"/>
      <c r="BB34" s="1139"/>
      <c r="BC34" s="1172"/>
      <c r="BD34" s="1206" t="s">
        <v>24</v>
      </c>
      <c r="BE34" s="1207" t="s">
        <v>106</v>
      </c>
      <c r="BF34" s="1204"/>
      <c r="BG34" s="1204"/>
      <c r="BH34" s="1204"/>
    </row>
    <row r="35">
      <c r="A35" s="1208" t="s">
        <v>1303</v>
      </c>
      <c r="B35" s="1209" t="s">
        <v>1304</v>
      </c>
      <c r="H35" s="1210" t="s">
        <v>1303</v>
      </c>
      <c r="I35" s="1209" t="s">
        <v>1304</v>
      </c>
      <c r="L35" s="44"/>
      <c r="M35" s="1211" t="s">
        <v>243</v>
      </c>
      <c r="N35" s="1137"/>
      <c r="O35" s="1212" t="s">
        <v>1167</v>
      </c>
      <c r="P35" s="1139"/>
      <c r="Q35" s="1211" t="s">
        <v>243</v>
      </c>
      <c r="R35" s="1137"/>
      <c r="S35" s="1212" t="s">
        <v>1167</v>
      </c>
      <c r="T35" s="1139"/>
      <c r="U35" s="1139"/>
      <c r="V35" s="1139"/>
      <c r="W35" s="1073" t="s">
        <v>243</v>
      </c>
      <c r="X35" s="995"/>
      <c r="Y35" s="1213" t="s">
        <v>1167</v>
      </c>
      <c r="AC35" s="1214" t="s">
        <v>320</v>
      </c>
      <c r="AD35" s="1137"/>
      <c r="AE35" s="1076" t="s">
        <v>1352</v>
      </c>
      <c r="AF35" s="131"/>
      <c r="AG35" s="132"/>
      <c r="AH35" s="1215" t="s">
        <v>31</v>
      </c>
      <c r="AI35" s="1137"/>
      <c r="AJ35" s="1216" t="s">
        <v>1379</v>
      </c>
      <c r="AK35" s="1216" t="s">
        <v>1359</v>
      </c>
      <c r="AL35" s="1139"/>
      <c r="AM35" s="1139"/>
      <c r="AN35" s="1139"/>
      <c r="AO35" s="1139"/>
      <c r="AP35" s="1215" t="s">
        <v>31</v>
      </c>
      <c r="AQ35" s="1137"/>
      <c r="AR35" s="1216" t="s">
        <v>136</v>
      </c>
      <c r="AS35" s="1139"/>
      <c r="AT35" s="1139"/>
      <c r="AU35" s="1139"/>
      <c r="AV35" s="1139"/>
      <c r="AW35" s="1139"/>
      <c r="AX35" s="1139"/>
      <c r="AY35" s="1139"/>
      <c r="AZ35" s="1139"/>
      <c r="BA35" s="1139"/>
      <c r="BB35" s="1139"/>
      <c r="BC35" s="1172"/>
      <c r="BD35" s="1217" t="s">
        <v>31</v>
      </c>
      <c r="BE35" s="1218" t="s">
        <v>136</v>
      </c>
      <c r="BF35" s="1216"/>
      <c r="BG35" s="1216"/>
      <c r="BH35" s="1216"/>
    </row>
    <row r="36">
      <c r="A36" s="135"/>
      <c r="B36" s="1219" t="s">
        <v>1380</v>
      </c>
      <c r="H36" s="1026"/>
      <c r="I36" s="1219" t="s">
        <v>1380</v>
      </c>
      <c r="L36" s="44"/>
      <c r="M36" s="1220" t="s">
        <v>255</v>
      </c>
      <c r="N36" s="1137"/>
      <c r="O36" s="1221" t="s">
        <v>235</v>
      </c>
      <c r="P36" s="1139"/>
      <c r="Q36" s="1220" t="s">
        <v>255</v>
      </c>
      <c r="R36" s="1137"/>
      <c r="S36" s="1221" t="s">
        <v>235</v>
      </c>
      <c r="T36" s="1139"/>
      <c r="U36" s="1139"/>
      <c r="V36" s="1139"/>
      <c r="W36" s="1020"/>
      <c r="X36" s="132"/>
      <c r="Y36" s="1222" t="s">
        <v>252</v>
      </c>
      <c r="AA36" s="1222" t="s">
        <v>326</v>
      </c>
      <c r="AB36" s="1223" t="s">
        <v>206</v>
      </c>
      <c r="AC36" s="1218" t="s">
        <v>31</v>
      </c>
      <c r="AD36" s="1137"/>
      <c r="AE36" s="1224" t="s">
        <v>1381</v>
      </c>
      <c r="AF36" s="131"/>
      <c r="AG36" s="131"/>
      <c r="AH36" s="1220" t="s">
        <v>255</v>
      </c>
      <c r="AI36" s="1137"/>
      <c r="AJ36" s="1225" t="s">
        <v>235</v>
      </c>
      <c r="AK36" s="1139"/>
      <c r="AL36" s="1139"/>
      <c r="AM36" s="1139"/>
      <c r="AN36" s="1139"/>
      <c r="AO36" s="1139"/>
      <c r="AP36" s="1189" t="s">
        <v>36</v>
      </c>
      <c r="AQ36" s="132"/>
      <c r="AR36" s="1226" t="s">
        <v>134</v>
      </c>
      <c r="AS36" s="1139"/>
      <c r="AT36" s="1139"/>
      <c r="AU36" s="1139"/>
      <c r="AV36" s="1139"/>
      <c r="AW36" s="1139"/>
      <c r="AX36" s="1139"/>
      <c r="AY36" s="1139"/>
      <c r="AZ36" s="1139"/>
      <c r="BA36" s="1139"/>
      <c r="BB36" s="1139"/>
      <c r="BC36" s="1172"/>
      <c r="BD36" s="1227" t="s">
        <v>36</v>
      </c>
      <c r="BE36" s="1228" t="s">
        <v>134</v>
      </c>
      <c r="BF36" s="1226"/>
      <c r="BG36" s="1229"/>
      <c r="BH36" s="1229"/>
    </row>
    <row r="37">
      <c r="A37" s="1230" t="s">
        <v>1285</v>
      </c>
      <c r="B37" s="1231" t="s">
        <v>1286</v>
      </c>
      <c r="H37" s="1232" t="s">
        <v>1285</v>
      </c>
      <c r="I37" s="1231" t="s">
        <v>1286</v>
      </c>
      <c r="L37" s="44"/>
      <c r="M37" s="1233" t="s">
        <v>1303</v>
      </c>
      <c r="N37" s="1137"/>
      <c r="O37" s="1234" t="s">
        <v>1382</v>
      </c>
      <c r="P37" s="1139"/>
      <c r="Q37" s="1136" t="s">
        <v>1303</v>
      </c>
      <c r="R37" s="1137"/>
      <c r="S37" s="1234" t="s">
        <v>1382</v>
      </c>
      <c r="T37" s="1139"/>
      <c r="U37" s="1139"/>
      <c r="V37" s="1139"/>
      <c r="W37" s="1220" t="s">
        <v>255</v>
      </c>
      <c r="X37" s="1137"/>
      <c r="Y37" s="1235" t="s">
        <v>235</v>
      </c>
      <c r="Z37" s="131"/>
      <c r="AA37" s="131"/>
      <c r="AB37" s="131"/>
      <c r="AC37" s="1220" t="s">
        <v>255</v>
      </c>
      <c r="AD37" s="1137"/>
      <c r="AE37" s="1236" t="s">
        <v>48</v>
      </c>
      <c r="AF37" s="1236" t="s">
        <v>235</v>
      </c>
      <c r="AG37" s="131"/>
      <c r="AH37" s="1203" t="s">
        <v>24</v>
      </c>
      <c r="AI37" s="1137"/>
      <c r="AJ37" s="1237" t="s">
        <v>108</v>
      </c>
      <c r="AK37" s="131"/>
      <c r="AL37" s="131"/>
      <c r="AM37" s="131"/>
      <c r="AN37" s="131"/>
      <c r="AO37" s="131"/>
      <c r="AP37" s="1238"/>
      <c r="AQ37" s="809"/>
      <c r="AR37" s="808"/>
      <c r="AS37" s="808"/>
      <c r="AT37" s="808"/>
      <c r="AU37" s="808"/>
      <c r="AV37" s="808"/>
      <c r="AW37" s="808"/>
      <c r="AX37" s="808"/>
      <c r="AY37" s="808"/>
      <c r="AZ37" s="808"/>
      <c r="BA37" s="808"/>
      <c r="BB37" s="808"/>
      <c r="BC37" s="809"/>
      <c r="BD37" s="808"/>
      <c r="BE37" s="808"/>
      <c r="BF37" s="808"/>
      <c r="BG37" s="808"/>
      <c r="BH37" s="808"/>
    </row>
    <row r="38">
      <c r="A38" s="1239" t="s">
        <v>200</v>
      </c>
      <c r="B38" s="1240" t="s">
        <v>1276</v>
      </c>
      <c r="E38" s="1240" t="s">
        <v>201</v>
      </c>
      <c r="H38" s="1241" t="s">
        <v>220</v>
      </c>
      <c r="I38" s="1242" t="s">
        <v>1355</v>
      </c>
      <c r="J38" s="1243" t="s">
        <v>1383</v>
      </c>
      <c r="L38" s="44"/>
      <c r="M38" s="1170"/>
      <c r="N38" s="809"/>
      <c r="O38" s="808"/>
      <c r="P38" s="808"/>
      <c r="Q38" s="809"/>
      <c r="R38" s="809"/>
      <c r="S38" s="809"/>
      <c r="T38" s="809"/>
      <c r="U38" s="809"/>
      <c r="V38" s="809"/>
      <c r="W38" s="1136" t="s">
        <v>1303</v>
      </c>
      <c r="X38" s="1137"/>
      <c r="Y38" s="1244" t="s">
        <v>1304</v>
      </c>
      <c r="Z38" s="131"/>
      <c r="AA38" s="1244" t="s">
        <v>116</v>
      </c>
      <c r="AB38" s="1245"/>
      <c r="AC38" s="1203" t="s">
        <v>333</v>
      </c>
      <c r="AD38" s="1137"/>
      <c r="AE38" s="1237" t="s">
        <v>108</v>
      </c>
      <c r="AF38" s="131"/>
      <c r="AG38" s="131"/>
      <c r="AH38" s="1246" t="s">
        <v>214</v>
      </c>
      <c r="AI38" s="132"/>
      <c r="AJ38" s="1247" t="s">
        <v>162</v>
      </c>
      <c r="AK38" s="131"/>
      <c r="AL38" s="131"/>
      <c r="AM38" s="131"/>
      <c r="AN38" s="131"/>
      <c r="AO38" s="132"/>
      <c r="AP38" s="1238"/>
      <c r="AQ38" s="809"/>
      <c r="AR38" s="809"/>
      <c r="AS38" s="809"/>
      <c r="AT38" s="809"/>
      <c r="AU38" s="809"/>
      <c r="AV38" s="809"/>
      <c r="AW38" s="809"/>
      <c r="AX38" s="809"/>
      <c r="AY38" s="809"/>
      <c r="AZ38" s="809"/>
      <c r="BA38" s="809"/>
      <c r="BB38" s="809"/>
      <c r="BC38" s="809"/>
      <c r="BD38" s="809"/>
      <c r="BE38" s="809"/>
      <c r="BF38" s="809"/>
      <c r="BG38" s="809"/>
      <c r="BH38" s="809"/>
    </row>
    <row r="39">
      <c r="A39" s="1248" t="s">
        <v>29</v>
      </c>
      <c r="B39" s="1249" t="s">
        <v>1384</v>
      </c>
      <c r="C39" s="124"/>
      <c r="D39" s="124"/>
      <c r="E39" s="124"/>
      <c r="F39" s="124"/>
      <c r="G39" s="124"/>
      <c r="H39" s="1248" t="s">
        <v>586</v>
      </c>
      <c r="I39" s="1249" t="s">
        <v>1385</v>
      </c>
      <c r="J39" s="124"/>
      <c r="K39" s="124"/>
      <c r="L39" s="124"/>
      <c r="M39" s="1170"/>
      <c r="N39" s="809"/>
      <c r="O39" s="809"/>
      <c r="P39" s="809"/>
      <c r="Q39" s="809"/>
      <c r="R39" s="809"/>
      <c r="S39" s="809"/>
      <c r="T39" s="809"/>
      <c r="U39" s="809"/>
      <c r="V39" s="809"/>
      <c r="W39" s="809"/>
      <c r="X39" s="809"/>
      <c r="Y39" s="808"/>
      <c r="Z39" s="808"/>
      <c r="AA39" s="808"/>
      <c r="AB39" s="809"/>
      <c r="AC39" s="1246" t="s">
        <v>214</v>
      </c>
      <c r="AD39" s="132"/>
      <c r="AE39" s="1247" t="s">
        <v>162</v>
      </c>
      <c r="AF39" s="131"/>
      <c r="AG39" s="132"/>
      <c r="AH39" s="1250"/>
      <c r="AI39" s="808"/>
      <c r="AJ39" s="809"/>
      <c r="AK39" s="809"/>
      <c r="AL39" s="809"/>
      <c r="AM39" s="809"/>
      <c r="AN39" s="809"/>
      <c r="AO39" s="809"/>
      <c r="AP39" s="809"/>
      <c r="AQ39" s="809"/>
      <c r="AR39" s="809"/>
      <c r="AS39" s="809"/>
      <c r="AT39" s="809"/>
      <c r="AU39" s="809"/>
      <c r="AV39" s="809"/>
      <c r="AW39" s="809"/>
      <c r="AX39" s="809"/>
      <c r="AY39" s="809"/>
      <c r="AZ39" s="809"/>
      <c r="BA39" s="809"/>
      <c r="BB39" s="809"/>
      <c r="BC39" s="809"/>
      <c r="BD39" s="809"/>
      <c r="BE39" s="809"/>
      <c r="BF39" s="809"/>
      <c r="BG39" s="809"/>
      <c r="BH39" s="809"/>
    </row>
    <row r="40">
      <c r="A40" s="1251" t="s">
        <v>1287</v>
      </c>
      <c r="B40" s="1252" t="s">
        <v>1386</v>
      </c>
      <c r="H40" s="1253" t="s">
        <v>214</v>
      </c>
      <c r="I40" s="1254" t="s">
        <v>1167</v>
      </c>
      <c r="M40" s="1170"/>
      <c r="N40" s="809"/>
      <c r="O40" s="809"/>
      <c r="P40" s="809"/>
      <c r="Q40" s="809"/>
      <c r="R40" s="809"/>
      <c r="S40" s="809"/>
      <c r="T40" s="809"/>
      <c r="U40" s="809"/>
      <c r="V40" s="809"/>
      <c r="W40" s="809"/>
      <c r="X40" s="809"/>
      <c r="Y40" s="809"/>
      <c r="Z40" s="809"/>
      <c r="AA40" s="809"/>
      <c r="AB40" s="809"/>
      <c r="AC40" s="809"/>
      <c r="AD40" s="809"/>
      <c r="AE40" s="809"/>
      <c r="AF40" s="809"/>
      <c r="AG40" s="809"/>
      <c r="AH40" s="809"/>
      <c r="AI40" s="809"/>
      <c r="AJ40" s="809"/>
      <c r="AK40" s="809"/>
      <c r="AL40" s="809"/>
      <c r="AM40" s="809"/>
      <c r="AN40" s="809"/>
      <c r="AO40" s="809"/>
      <c r="AP40" s="809"/>
      <c r="AQ40" s="809"/>
      <c r="AR40" s="809"/>
      <c r="AS40" s="809"/>
      <c r="AT40" s="809"/>
      <c r="AU40" s="809"/>
      <c r="AV40" s="809"/>
      <c r="AW40" s="809"/>
      <c r="AX40" s="809"/>
      <c r="AY40" s="809"/>
      <c r="AZ40" s="809"/>
      <c r="BA40" s="809"/>
      <c r="BB40" s="809"/>
      <c r="BC40" s="809"/>
      <c r="BD40" s="809"/>
      <c r="BE40" s="809"/>
      <c r="BF40" s="809"/>
      <c r="BG40" s="809"/>
      <c r="BH40" s="809"/>
    </row>
    <row r="41">
      <c r="A41" s="1255" t="s">
        <v>1289</v>
      </c>
      <c r="B41" s="1018" t="s">
        <v>244</v>
      </c>
      <c r="H41" s="1256" t="s">
        <v>1287</v>
      </c>
      <c r="I41" s="1252" t="s">
        <v>1386</v>
      </c>
      <c r="M41" s="809"/>
      <c r="N41" s="809"/>
      <c r="O41" s="809"/>
      <c r="P41" s="809"/>
      <c r="Q41" s="809"/>
      <c r="R41" s="809"/>
      <c r="S41" s="809"/>
      <c r="T41" s="809"/>
      <c r="U41" s="809"/>
      <c r="V41" s="809"/>
      <c r="W41" s="809"/>
      <c r="X41" s="809"/>
      <c r="Y41" s="809"/>
      <c r="Z41" s="809"/>
      <c r="AA41" s="809"/>
      <c r="AB41" s="809"/>
      <c r="AC41" s="809"/>
      <c r="AD41" s="809"/>
      <c r="AE41" s="809"/>
      <c r="AF41" s="809"/>
      <c r="AG41" s="809"/>
      <c r="AH41" s="809"/>
      <c r="AI41" s="809"/>
      <c r="AJ41" s="809"/>
      <c r="AK41" s="809"/>
      <c r="AL41" s="809"/>
      <c r="AM41" s="809"/>
      <c r="AN41" s="809"/>
      <c r="AO41" s="809"/>
      <c r="AP41" s="809"/>
      <c r="AQ41" s="809"/>
      <c r="AR41" s="809"/>
      <c r="AS41" s="809"/>
      <c r="AT41" s="809"/>
      <c r="AU41" s="809"/>
      <c r="AV41" s="809"/>
      <c r="AW41" s="809"/>
      <c r="AX41" s="809"/>
      <c r="AY41" s="809"/>
      <c r="AZ41" s="809"/>
      <c r="BA41" s="809"/>
      <c r="BB41" s="809"/>
      <c r="BC41" s="809"/>
      <c r="BD41" s="809"/>
      <c r="BE41" s="809"/>
      <c r="BF41" s="809"/>
      <c r="BG41" s="809"/>
      <c r="BH41" s="809"/>
    </row>
    <row r="42">
      <c r="A42" s="364" t="s">
        <v>31</v>
      </c>
      <c r="B42" s="1257" t="s">
        <v>1340</v>
      </c>
      <c r="H42" s="1258" t="s">
        <v>31</v>
      </c>
      <c r="I42" s="1259" t="s">
        <v>32</v>
      </c>
      <c r="M42" s="809"/>
      <c r="N42" s="809"/>
      <c r="O42" s="809"/>
      <c r="P42" s="809"/>
      <c r="Q42" s="809"/>
      <c r="R42" s="809"/>
      <c r="S42" s="809"/>
      <c r="T42" s="809"/>
      <c r="U42" s="809"/>
      <c r="V42" s="809"/>
      <c r="W42" s="809"/>
      <c r="X42" s="809"/>
      <c r="Y42" s="809"/>
      <c r="Z42" s="809"/>
      <c r="AA42" s="809"/>
      <c r="AB42" s="809"/>
      <c r="AC42" s="809"/>
      <c r="AD42" s="809"/>
      <c r="AE42" s="809"/>
      <c r="AF42" s="809"/>
      <c r="AG42" s="809"/>
      <c r="AH42" s="809"/>
      <c r="AI42" s="809"/>
      <c r="AJ42" s="809"/>
      <c r="AK42" s="809"/>
      <c r="AL42" s="809"/>
      <c r="AM42" s="809"/>
      <c r="AN42" s="809"/>
      <c r="AO42" s="809"/>
      <c r="AP42" s="809"/>
      <c r="AQ42" s="809"/>
      <c r="AR42" s="809"/>
      <c r="AS42" s="809"/>
      <c r="AT42" s="809"/>
      <c r="AU42" s="809"/>
      <c r="AV42" s="809"/>
      <c r="AW42" s="809"/>
      <c r="AX42" s="809"/>
      <c r="AY42" s="809"/>
      <c r="AZ42" s="809"/>
      <c r="BA42" s="809"/>
      <c r="BB42" s="809"/>
      <c r="BC42" s="809"/>
      <c r="BD42" s="809"/>
      <c r="BE42" s="809"/>
      <c r="BF42" s="809"/>
      <c r="BG42" s="809"/>
      <c r="BH42" s="809"/>
    </row>
    <row r="43">
      <c r="A43" s="349" t="s">
        <v>161</v>
      </c>
      <c r="B43" s="1082" t="s">
        <v>1167</v>
      </c>
      <c r="H43" s="1260" t="s">
        <v>1289</v>
      </c>
      <c r="I43" s="1018" t="s">
        <v>244</v>
      </c>
      <c r="M43" s="809"/>
      <c r="N43" s="809"/>
      <c r="O43" s="809"/>
      <c r="P43" s="809"/>
      <c r="Q43" s="809"/>
      <c r="R43" s="809"/>
      <c r="S43" s="809"/>
      <c r="T43" s="809"/>
      <c r="U43" s="809"/>
      <c r="V43" s="809"/>
      <c r="W43" s="809"/>
      <c r="X43" s="809"/>
      <c r="Y43" s="809"/>
      <c r="Z43" s="809"/>
      <c r="AA43" s="809"/>
      <c r="AB43" s="809"/>
      <c r="AC43" s="809"/>
      <c r="AD43" s="809"/>
      <c r="AE43" s="809"/>
      <c r="AF43" s="809"/>
      <c r="AG43" s="809"/>
      <c r="AH43" s="809"/>
      <c r="AI43" s="809"/>
      <c r="AJ43" s="809"/>
      <c r="AK43" s="809"/>
      <c r="AL43" s="809"/>
      <c r="AM43" s="809"/>
      <c r="AN43" s="809"/>
      <c r="AO43" s="809"/>
      <c r="AP43" s="809"/>
      <c r="AQ43" s="809"/>
      <c r="AR43" s="809"/>
      <c r="AS43" s="809"/>
      <c r="AT43" s="809"/>
      <c r="AU43" s="809"/>
      <c r="AV43" s="809"/>
      <c r="AW43" s="809"/>
      <c r="AX43" s="809"/>
      <c r="AY43" s="809"/>
      <c r="AZ43" s="809"/>
      <c r="BA43" s="809"/>
      <c r="BB43" s="809"/>
      <c r="BC43" s="809"/>
      <c r="BD43" s="809"/>
      <c r="BE43" s="809"/>
      <c r="BF43" s="809"/>
      <c r="BG43" s="809"/>
      <c r="BH43" s="809"/>
    </row>
    <row r="44">
      <c r="A44" s="361" t="s">
        <v>175</v>
      </c>
      <c r="B44" s="1261" t="s">
        <v>1387</v>
      </c>
      <c r="H44" s="1262" t="s">
        <v>169</v>
      </c>
      <c r="I44" s="1263" t="s">
        <v>101</v>
      </c>
      <c r="J44" s="1134" t="s">
        <v>308</v>
      </c>
      <c r="L44" s="44"/>
      <c r="M44" s="809"/>
      <c r="N44" s="809"/>
      <c r="O44" s="809"/>
      <c r="P44" s="809"/>
      <c r="Q44" s="809"/>
      <c r="R44" s="809"/>
      <c r="S44" s="809"/>
      <c r="T44" s="809"/>
      <c r="U44" s="809"/>
      <c r="V44" s="809"/>
      <c r="W44" s="809"/>
      <c r="X44" s="809"/>
      <c r="Y44" s="809"/>
      <c r="Z44" s="809"/>
      <c r="AA44" s="809"/>
      <c r="AB44" s="809"/>
      <c r="AC44" s="809"/>
      <c r="AD44" s="809"/>
      <c r="AE44" s="809"/>
      <c r="AF44" s="809"/>
      <c r="AG44" s="809"/>
      <c r="AH44" s="809"/>
      <c r="AI44" s="809"/>
      <c r="AJ44" s="809"/>
      <c r="AK44" s="809"/>
      <c r="AL44" s="809"/>
      <c r="AM44" s="809"/>
      <c r="AN44" s="809"/>
      <c r="AO44" s="809"/>
      <c r="AP44" s="809"/>
      <c r="AQ44" s="809"/>
      <c r="AR44" s="809"/>
      <c r="AS44" s="809"/>
      <c r="AT44" s="809"/>
      <c r="AU44" s="809"/>
      <c r="AV44" s="809"/>
      <c r="AW44" s="809"/>
      <c r="AX44" s="809"/>
      <c r="AY44" s="809"/>
      <c r="AZ44" s="809"/>
      <c r="BA44" s="809"/>
      <c r="BB44" s="809"/>
      <c r="BC44" s="809"/>
      <c r="BD44" s="809"/>
      <c r="BE44" s="809"/>
      <c r="BF44" s="809"/>
      <c r="BG44" s="809"/>
      <c r="BH44" s="809"/>
    </row>
    <row r="45">
      <c r="A45" s="358" t="s">
        <v>169</v>
      </c>
      <c r="B45" s="1134" t="s">
        <v>101</v>
      </c>
      <c r="H45" s="1264" t="s">
        <v>228</v>
      </c>
      <c r="I45" s="1265" t="s">
        <v>674</v>
      </c>
      <c r="L45" s="44"/>
      <c r="M45" s="809"/>
      <c r="N45" s="809"/>
      <c r="O45" s="809"/>
      <c r="P45" s="809"/>
      <c r="Q45" s="809"/>
      <c r="R45" s="809"/>
      <c r="S45" s="809"/>
      <c r="T45" s="809"/>
      <c r="U45" s="809"/>
      <c r="V45" s="809"/>
      <c r="W45" s="809"/>
      <c r="X45" s="809"/>
      <c r="Y45" s="809"/>
      <c r="Z45" s="809"/>
      <c r="AA45" s="809"/>
      <c r="AB45" s="809"/>
      <c r="AC45" s="809"/>
      <c r="AD45" s="809"/>
      <c r="AE45" s="809"/>
      <c r="AF45" s="809"/>
      <c r="AG45" s="809"/>
      <c r="AH45" s="809"/>
      <c r="AI45" s="809"/>
      <c r="AJ45" s="809"/>
      <c r="AK45" s="809"/>
      <c r="AL45" s="809"/>
      <c r="AM45" s="809"/>
      <c r="AN45" s="809"/>
      <c r="AO45" s="809"/>
      <c r="AP45" s="809"/>
      <c r="AQ45" s="809"/>
      <c r="AR45" s="809"/>
      <c r="AS45" s="809"/>
      <c r="AT45" s="809"/>
      <c r="AU45" s="809"/>
      <c r="AV45" s="809"/>
      <c r="AW45" s="809"/>
      <c r="AX45" s="809"/>
      <c r="AY45" s="809"/>
      <c r="AZ45" s="809"/>
      <c r="BA45" s="809"/>
      <c r="BB45" s="809"/>
      <c r="BC45" s="809"/>
      <c r="BD45" s="809"/>
      <c r="BE45" s="809"/>
      <c r="BF45" s="809"/>
      <c r="BG45" s="809"/>
      <c r="BH45" s="809"/>
    </row>
    <row r="46">
      <c r="A46" s="1266" t="s">
        <v>228</v>
      </c>
      <c r="B46" s="1265" t="s">
        <v>674</v>
      </c>
      <c r="H46" s="1267" t="s">
        <v>234</v>
      </c>
      <c r="I46" s="1268" t="s">
        <v>1173</v>
      </c>
      <c r="L46" s="44"/>
      <c r="M46" s="809"/>
      <c r="N46" s="809"/>
      <c r="O46" s="809"/>
      <c r="P46" s="809"/>
      <c r="Q46" s="809"/>
      <c r="R46" s="809"/>
      <c r="S46" s="809"/>
      <c r="T46" s="809"/>
      <c r="U46" s="809"/>
      <c r="V46" s="809"/>
      <c r="W46" s="809"/>
      <c r="X46" s="809"/>
      <c r="Y46" s="809"/>
      <c r="Z46" s="809"/>
      <c r="AA46" s="809"/>
      <c r="AB46" s="809"/>
      <c r="AC46" s="809"/>
      <c r="AD46" s="809"/>
      <c r="AE46" s="809"/>
      <c r="AF46" s="809"/>
      <c r="AG46" s="809"/>
      <c r="AH46" s="809"/>
      <c r="AI46" s="809"/>
      <c r="AJ46" s="809"/>
      <c r="AK46" s="809"/>
      <c r="AL46" s="809"/>
      <c r="AM46" s="809"/>
      <c r="AN46" s="809"/>
      <c r="AO46" s="809"/>
      <c r="AP46" s="809"/>
      <c r="AQ46" s="809"/>
      <c r="AR46" s="809"/>
      <c r="AS46" s="809"/>
      <c r="AT46" s="809"/>
      <c r="AU46" s="809"/>
      <c r="AV46" s="809"/>
      <c r="AW46" s="809"/>
      <c r="AX46" s="809"/>
      <c r="AY46" s="809"/>
      <c r="AZ46" s="809"/>
      <c r="BA46" s="809"/>
      <c r="BB46" s="809"/>
      <c r="BC46" s="809"/>
      <c r="BD46" s="809"/>
      <c r="BE46" s="809"/>
      <c r="BF46" s="809"/>
      <c r="BG46" s="809"/>
      <c r="BH46" s="809"/>
    </row>
    <row r="47">
      <c r="A47" s="384" t="s">
        <v>234</v>
      </c>
      <c r="B47" s="1268" t="s">
        <v>1173</v>
      </c>
      <c r="H47" s="1269" t="s">
        <v>1303</v>
      </c>
      <c r="I47" s="1270" t="s">
        <v>1382</v>
      </c>
      <c r="L47" s="44"/>
      <c r="M47" s="809"/>
      <c r="N47" s="809"/>
      <c r="O47" s="809"/>
      <c r="P47" s="809"/>
      <c r="Q47" s="809"/>
      <c r="R47" s="809"/>
      <c r="S47" s="809"/>
      <c r="T47" s="809"/>
      <c r="U47" s="809"/>
      <c r="V47" s="809"/>
      <c r="W47" s="809"/>
      <c r="X47" s="809"/>
      <c r="Y47" s="809"/>
      <c r="Z47" s="809"/>
      <c r="AA47" s="809"/>
      <c r="AB47" s="809"/>
      <c r="AC47" s="809"/>
      <c r="AD47" s="809"/>
      <c r="AE47" s="809"/>
      <c r="AF47" s="809"/>
      <c r="AG47" s="809"/>
      <c r="AH47" s="809"/>
      <c r="AI47" s="809"/>
      <c r="AJ47" s="809"/>
      <c r="AK47" s="809"/>
      <c r="AL47" s="809"/>
      <c r="AM47" s="809"/>
      <c r="AN47" s="809"/>
      <c r="AO47" s="809"/>
      <c r="AP47" s="809"/>
      <c r="AQ47" s="809"/>
      <c r="AR47" s="809"/>
      <c r="AS47" s="809"/>
      <c r="AT47" s="809"/>
      <c r="AU47" s="809"/>
      <c r="AV47" s="809"/>
      <c r="AW47" s="809"/>
      <c r="AX47" s="809"/>
      <c r="AY47" s="809"/>
      <c r="AZ47" s="809"/>
      <c r="BA47" s="809"/>
      <c r="BB47" s="809"/>
      <c r="BC47" s="809"/>
      <c r="BD47" s="809"/>
      <c r="BE47" s="809"/>
      <c r="BF47" s="809"/>
      <c r="BG47" s="809"/>
      <c r="BH47" s="809"/>
    </row>
    <row r="48">
      <c r="A48" s="1271" t="s">
        <v>1303</v>
      </c>
      <c r="B48" s="1270" t="s">
        <v>1382</v>
      </c>
      <c r="H48" s="1272" t="s">
        <v>220</v>
      </c>
      <c r="I48" s="1273" t="s">
        <v>1388</v>
      </c>
      <c r="L48" s="44"/>
      <c r="M48" s="809"/>
      <c r="N48" s="809"/>
      <c r="O48" s="809"/>
      <c r="P48" s="809"/>
      <c r="Q48" s="809"/>
      <c r="R48" s="809"/>
      <c r="S48" s="809"/>
      <c r="T48" s="809"/>
      <c r="U48" s="809"/>
      <c r="V48" s="809"/>
      <c r="W48" s="809"/>
      <c r="X48" s="809"/>
      <c r="Y48" s="809"/>
      <c r="Z48" s="809"/>
      <c r="AA48" s="809"/>
      <c r="AB48" s="809"/>
      <c r="AC48" s="809"/>
      <c r="AD48" s="809"/>
      <c r="AE48" s="809"/>
      <c r="AF48" s="809"/>
      <c r="AG48" s="809"/>
      <c r="AH48" s="809"/>
      <c r="AI48" s="809"/>
      <c r="AJ48" s="809"/>
      <c r="AK48" s="809"/>
      <c r="AL48" s="809"/>
      <c r="AM48" s="809"/>
      <c r="AN48" s="809"/>
      <c r="AO48" s="809"/>
      <c r="AP48" s="809"/>
      <c r="AQ48" s="809"/>
      <c r="AR48" s="809"/>
      <c r="AS48" s="809"/>
      <c r="AT48" s="809"/>
      <c r="AU48" s="809"/>
      <c r="AV48" s="809"/>
      <c r="AW48" s="809"/>
      <c r="AX48" s="809"/>
      <c r="AY48" s="809"/>
      <c r="AZ48" s="809"/>
      <c r="BA48" s="809"/>
      <c r="BB48" s="809"/>
      <c r="BC48" s="809"/>
      <c r="BD48" s="809"/>
      <c r="BE48" s="809"/>
      <c r="BF48" s="809"/>
      <c r="BG48" s="809"/>
      <c r="BH48" s="809"/>
    </row>
    <row r="49">
      <c r="A49" s="366" t="s">
        <v>200</v>
      </c>
      <c r="B49" s="1274" t="s">
        <v>1389</v>
      </c>
      <c r="G49" s="44"/>
      <c r="H49" s="1170"/>
      <c r="I49" s="809"/>
      <c r="J49" s="809"/>
      <c r="K49" s="809"/>
      <c r="L49" s="809"/>
      <c r="M49" s="809"/>
      <c r="N49" s="809"/>
      <c r="O49" s="809"/>
      <c r="P49" s="809"/>
      <c r="Q49" s="809"/>
      <c r="R49" s="809"/>
      <c r="S49" s="809"/>
      <c r="T49" s="809"/>
      <c r="U49" s="809"/>
      <c r="V49" s="809"/>
      <c r="W49" s="809"/>
      <c r="X49" s="809"/>
      <c r="Y49" s="809"/>
      <c r="Z49" s="809"/>
      <c r="AA49" s="809"/>
      <c r="AB49" s="809"/>
      <c r="AC49" s="809"/>
      <c r="AD49" s="809"/>
      <c r="AE49" s="809"/>
      <c r="AF49" s="809"/>
      <c r="AG49" s="809"/>
      <c r="AH49" s="809"/>
      <c r="AI49" s="809"/>
      <c r="AJ49" s="809"/>
      <c r="AK49" s="809"/>
      <c r="AL49" s="809"/>
      <c r="AM49" s="809"/>
      <c r="AN49" s="809"/>
      <c r="AO49" s="809"/>
      <c r="AP49" s="809"/>
      <c r="AQ49" s="809"/>
      <c r="AR49" s="809"/>
      <c r="AS49" s="809"/>
      <c r="AT49" s="809"/>
      <c r="AU49" s="809"/>
      <c r="AV49" s="809"/>
      <c r="AW49" s="809"/>
      <c r="AX49" s="809"/>
      <c r="AY49" s="809"/>
      <c r="AZ49" s="809"/>
      <c r="BA49" s="809"/>
      <c r="BB49" s="809"/>
      <c r="BC49" s="809"/>
      <c r="BD49" s="809"/>
      <c r="BE49" s="809"/>
      <c r="BF49" s="809"/>
      <c r="BG49" s="809"/>
      <c r="BH49" s="809"/>
    </row>
  </sheetData>
  <mergeCells count="466">
    <mergeCell ref="AE5:AG5"/>
    <mergeCell ref="AJ5:AO5"/>
    <mergeCell ref="S4:V4"/>
    <mergeCell ref="S7:V7"/>
    <mergeCell ref="S8:V8"/>
    <mergeCell ref="S9:V9"/>
    <mergeCell ref="S10:V10"/>
    <mergeCell ref="Y7:AB7"/>
    <mergeCell ref="AE7:AG7"/>
    <mergeCell ref="AJ7:AO7"/>
    <mergeCell ref="AR7:AX7"/>
    <mergeCell ref="W4:X10"/>
    <mergeCell ref="Y8:AA8"/>
    <mergeCell ref="Y9:AB9"/>
    <mergeCell ref="Y10:AB10"/>
    <mergeCell ref="Y11:AB11"/>
    <mergeCell ref="Y12:AB12"/>
    <mergeCell ref="Y13:AB13"/>
    <mergeCell ref="AE8:AG8"/>
    <mergeCell ref="AJ8:AO8"/>
    <mergeCell ref="AR8:AU8"/>
    <mergeCell ref="AV8:BB8"/>
    <mergeCell ref="AR5:BB5"/>
    <mergeCell ref="AR6:BA6"/>
    <mergeCell ref="AR9:BC9"/>
    <mergeCell ref="AR10:BC10"/>
    <mergeCell ref="AC4:AD9"/>
    <mergeCell ref="AH4:AI10"/>
    <mergeCell ref="AP4:AQ11"/>
    <mergeCell ref="BD4:BD10"/>
    <mergeCell ref="AJ6:AO6"/>
    <mergeCell ref="BB6:BC6"/>
    <mergeCell ref="AY7:BC7"/>
    <mergeCell ref="AE11:AG11"/>
    <mergeCell ref="AE12:AF12"/>
    <mergeCell ref="AE10:AG10"/>
    <mergeCell ref="AE13:AG13"/>
    <mergeCell ref="AE16:AG16"/>
    <mergeCell ref="AE17:AG17"/>
    <mergeCell ref="AC10:AD13"/>
    <mergeCell ref="AC14:AD17"/>
    <mergeCell ref="S17:V17"/>
    <mergeCell ref="Y17:AB17"/>
    <mergeCell ref="AR15:AV15"/>
    <mergeCell ref="AW15:BC15"/>
    <mergeCell ref="AJ17:AO17"/>
    <mergeCell ref="AR17:AT17"/>
    <mergeCell ref="AU17:AX17"/>
    <mergeCell ref="AY17:BC17"/>
    <mergeCell ref="Y23:AB23"/>
    <mergeCell ref="Y24:AB24"/>
    <mergeCell ref="AC24:AD25"/>
    <mergeCell ref="O25:P25"/>
    <mergeCell ref="S25:V25"/>
    <mergeCell ref="Y25:AB25"/>
    <mergeCell ref="O21:P21"/>
    <mergeCell ref="S21:T21"/>
    <mergeCell ref="U21:V21"/>
    <mergeCell ref="Y21:Z21"/>
    <mergeCell ref="AA21:AB21"/>
    <mergeCell ref="Y22:Z22"/>
    <mergeCell ref="AC22:AD23"/>
    <mergeCell ref="S12:V12"/>
    <mergeCell ref="S13:V13"/>
    <mergeCell ref="Y14:Z14"/>
    <mergeCell ref="AA14:AB14"/>
    <mergeCell ref="O13:P13"/>
    <mergeCell ref="O15:P15"/>
    <mergeCell ref="S15:T15"/>
    <mergeCell ref="U15:V15"/>
    <mergeCell ref="Y15:Z15"/>
    <mergeCell ref="AA15:AB15"/>
    <mergeCell ref="O16:P16"/>
    <mergeCell ref="S16:V16"/>
    <mergeCell ref="Y16:AB16"/>
    <mergeCell ref="O9:P9"/>
    <mergeCell ref="O10:P10"/>
    <mergeCell ref="M11:N16"/>
    <mergeCell ref="Q11:R16"/>
    <mergeCell ref="W11:X17"/>
    <mergeCell ref="O12:P12"/>
    <mergeCell ref="U14:V14"/>
    <mergeCell ref="O19:P19"/>
    <mergeCell ref="O20:P20"/>
    <mergeCell ref="S22:V22"/>
    <mergeCell ref="S23:V23"/>
    <mergeCell ref="W23:X25"/>
    <mergeCell ref="S24:V24"/>
    <mergeCell ref="B24:G24"/>
    <mergeCell ref="B25:G25"/>
    <mergeCell ref="A18:A21"/>
    <mergeCell ref="B18:E18"/>
    <mergeCell ref="B19:D19"/>
    <mergeCell ref="B20:G20"/>
    <mergeCell ref="B21:G21"/>
    <mergeCell ref="A22:A25"/>
    <mergeCell ref="D22:G22"/>
    <mergeCell ref="M17:N22"/>
    <mergeCell ref="Q17:R22"/>
    <mergeCell ref="O18:P18"/>
    <mergeCell ref="O22:P22"/>
    <mergeCell ref="F18:G18"/>
    <mergeCell ref="E19:G19"/>
    <mergeCell ref="H19:H22"/>
    <mergeCell ref="B8:G8"/>
    <mergeCell ref="B10:F10"/>
    <mergeCell ref="B11:F11"/>
    <mergeCell ref="B12:F12"/>
    <mergeCell ref="H12:H18"/>
    <mergeCell ref="B13:F13"/>
    <mergeCell ref="B14:F14"/>
    <mergeCell ref="I18:L18"/>
    <mergeCell ref="I19:L19"/>
    <mergeCell ref="I20:L20"/>
    <mergeCell ref="I21:L21"/>
    <mergeCell ref="I22:L22"/>
    <mergeCell ref="J23:L23"/>
    <mergeCell ref="B9:F9"/>
    <mergeCell ref="I9:L9"/>
    <mergeCell ref="I12:L12"/>
    <mergeCell ref="I13:L13"/>
    <mergeCell ref="I14:L14"/>
    <mergeCell ref="I15:L15"/>
    <mergeCell ref="I17:L17"/>
    <mergeCell ref="B22:C22"/>
    <mergeCell ref="B23:D23"/>
    <mergeCell ref="E23:G23"/>
    <mergeCell ref="H23:H25"/>
    <mergeCell ref="M23:N25"/>
    <mergeCell ref="O23:P23"/>
    <mergeCell ref="Q23:R25"/>
    <mergeCell ref="I24:L24"/>
    <mergeCell ref="O24:P24"/>
    <mergeCell ref="I25:L25"/>
    <mergeCell ref="B5:F5"/>
    <mergeCell ref="B6:E6"/>
    <mergeCell ref="B4:G4"/>
    <mergeCell ref="B7:G7"/>
    <mergeCell ref="O6:P6"/>
    <mergeCell ref="O7:P7"/>
    <mergeCell ref="A4:A8"/>
    <mergeCell ref="A9:A13"/>
    <mergeCell ref="A14:A17"/>
    <mergeCell ref="A26:A28"/>
    <mergeCell ref="O14:P14"/>
    <mergeCell ref="S14:T14"/>
    <mergeCell ref="B15:G15"/>
    <mergeCell ref="B16:G16"/>
    <mergeCell ref="I16:L16"/>
    <mergeCell ref="S28:V28"/>
    <mergeCell ref="W28:X28"/>
    <mergeCell ref="Q26:R26"/>
    <mergeCell ref="S26:V26"/>
    <mergeCell ref="W26:X26"/>
    <mergeCell ref="Q27:R27"/>
    <mergeCell ref="S27:V27"/>
    <mergeCell ref="W27:X27"/>
    <mergeCell ref="Q28:R28"/>
    <mergeCell ref="I26:L26"/>
    <mergeCell ref="I27:L27"/>
    <mergeCell ref="M27:N27"/>
    <mergeCell ref="O27:P27"/>
    <mergeCell ref="M28:N28"/>
    <mergeCell ref="O28:P28"/>
    <mergeCell ref="B17:C17"/>
    <mergeCell ref="D17:G17"/>
    <mergeCell ref="B26:F26"/>
    <mergeCell ref="H26:H28"/>
    <mergeCell ref="M26:N26"/>
    <mergeCell ref="O26:P26"/>
    <mergeCell ref="B27:G27"/>
    <mergeCell ref="B28:G28"/>
    <mergeCell ref="I28:L28"/>
    <mergeCell ref="A29:A31"/>
    <mergeCell ref="B29:G29"/>
    <mergeCell ref="H29:H31"/>
    <mergeCell ref="I29:L29"/>
    <mergeCell ref="I30:L30"/>
    <mergeCell ref="I33:L33"/>
    <mergeCell ref="M33:N33"/>
    <mergeCell ref="O33:P33"/>
    <mergeCell ref="Q33:R33"/>
    <mergeCell ref="S33:V33"/>
    <mergeCell ref="W33:X33"/>
    <mergeCell ref="I31:L31"/>
    <mergeCell ref="I32:L32"/>
    <mergeCell ref="M32:N32"/>
    <mergeCell ref="O32:P32"/>
    <mergeCell ref="Q32:R32"/>
    <mergeCell ref="S32:V32"/>
    <mergeCell ref="W32:X32"/>
    <mergeCell ref="I42:L42"/>
    <mergeCell ref="I43:L43"/>
    <mergeCell ref="I35:L35"/>
    <mergeCell ref="I36:L36"/>
    <mergeCell ref="I37:L37"/>
    <mergeCell ref="J38:L38"/>
    <mergeCell ref="I39:L39"/>
    <mergeCell ref="I40:L40"/>
    <mergeCell ref="I41:L41"/>
    <mergeCell ref="B34:C34"/>
    <mergeCell ref="D34:G34"/>
    <mergeCell ref="I34:L34"/>
    <mergeCell ref="M34:N34"/>
    <mergeCell ref="O34:P34"/>
    <mergeCell ref="Q34:R34"/>
    <mergeCell ref="S34:V34"/>
    <mergeCell ref="W34:X34"/>
    <mergeCell ref="B30:G30"/>
    <mergeCell ref="B31:G31"/>
    <mergeCell ref="A32:A34"/>
    <mergeCell ref="B32:C32"/>
    <mergeCell ref="D32:G32"/>
    <mergeCell ref="H32:H34"/>
    <mergeCell ref="B33:G33"/>
    <mergeCell ref="S35:V35"/>
    <mergeCell ref="W35:X36"/>
    <mergeCell ref="S36:V36"/>
    <mergeCell ref="S37:V37"/>
    <mergeCell ref="W37:X37"/>
    <mergeCell ref="W38:X38"/>
    <mergeCell ref="M36:N36"/>
    <mergeCell ref="O36:P36"/>
    <mergeCell ref="M37:N37"/>
    <mergeCell ref="O37:P37"/>
    <mergeCell ref="Q37:R37"/>
    <mergeCell ref="A35:A36"/>
    <mergeCell ref="B35:G35"/>
    <mergeCell ref="H35:H36"/>
    <mergeCell ref="M35:N35"/>
    <mergeCell ref="O35:P35"/>
    <mergeCell ref="Q35:R35"/>
    <mergeCell ref="Q36:R36"/>
    <mergeCell ref="B36:G36"/>
    <mergeCell ref="B37:G37"/>
    <mergeCell ref="B38:D38"/>
    <mergeCell ref="E38:G38"/>
    <mergeCell ref="B39:G39"/>
    <mergeCell ref="B40:G40"/>
    <mergeCell ref="B41:G41"/>
    <mergeCell ref="B46:G46"/>
    <mergeCell ref="B47:G47"/>
    <mergeCell ref="I47:L47"/>
    <mergeCell ref="B48:G48"/>
    <mergeCell ref="I48:L48"/>
    <mergeCell ref="B49:G49"/>
    <mergeCell ref="B42:G42"/>
    <mergeCell ref="B43:G43"/>
    <mergeCell ref="B44:G44"/>
    <mergeCell ref="J44:L44"/>
    <mergeCell ref="B45:G45"/>
    <mergeCell ref="I45:L45"/>
    <mergeCell ref="I46:L46"/>
    <mergeCell ref="AP34:AQ34"/>
    <mergeCell ref="AP35:AQ35"/>
    <mergeCell ref="AP12:AQ17"/>
    <mergeCell ref="AP18:AQ22"/>
    <mergeCell ref="AP23:AQ27"/>
    <mergeCell ref="AP28:AQ29"/>
    <mergeCell ref="AP30:AQ30"/>
    <mergeCell ref="AP32:AQ32"/>
    <mergeCell ref="AP33:AQ33"/>
    <mergeCell ref="AR16:AZ16"/>
    <mergeCell ref="BA16:BC16"/>
    <mergeCell ref="AR18:BC18"/>
    <mergeCell ref="AR19:BC19"/>
    <mergeCell ref="AR11:AX11"/>
    <mergeCell ref="AY11:BC11"/>
    <mergeCell ref="BD11:BD16"/>
    <mergeCell ref="AR12:BC12"/>
    <mergeCell ref="AR13:BC13"/>
    <mergeCell ref="AR14:BC14"/>
    <mergeCell ref="BD17:BD21"/>
    <mergeCell ref="AR20:BC20"/>
    <mergeCell ref="AR21:AX21"/>
    <mergeCell ref="AY21:BA21"/>
    <mergeCell ref="BB21:BC21"/>
    <mergeCell ref="AR22:BC22"/>
    <mergeCell ref="BD22:BD25"/>
    <mergeCell ref="AR23:BC23"/>
    <mergeCell ref="AR24:BC24"/>
    <mergeCell ref="AT25:AU25"/>
    <mergeCell ref="AV25:BC25"/>
    <mergeCell ref="AR26:AU26"/>
    <mergeCell ref="AV26:BC26"/>
    <mergeCell ref="BD26:BD27"/>
    <mergeCell ref="AZ27:BC27"/>
    <mergeCell ref="AR32:BB32"/>
    <mergeCell ref="AR34:AV34"/>
    <mergeCell ref="AR33:BC33"/>
    <mergeCell ref="AW34:BC34"/>
    <mergeCell ref="AR35:BC35"/>
    <mergeCell ref="AR27:AX27"/>
    <mergeCell ref="AR28:AU28"/>
    <mergeCell ref="AV28:BC28"/>
    <mergeCell ref="AR29:AY29"/>
    <mergeCell ref="AZ29:BC29"/>
    <mergeCell ref="AR30:BC30"/>
    <mergeCell ref="BE32:BH32"/>
    <mergeCell ref="AJ19:AO19"/>
    <mergeCell ref="AJ20:AO20"/>
    <mergeCell ref="AH16:AI19"/>
    <mergeCell ref="AJ16:AO16"/>
    <mergeCell ref="AE18:AG18"/>
    <mergeCell ref="AJ18:AO18"/>
    <mergeCell ref="AE19:AG19"/>
    <mergeCell ref="AE20:AG20"/>
    <mergeCell ref="AF23:AG23"/>
    <mergeCell ref="AJ13:AO13"/>
    <mergeCell ref="AJ14:AO14"/>
    <mergeCell ref="AE15:AG15"/>
    <mergeCell ref="AJ15:AO15"/>
    <mergeCell ref="AE9:AG9"/>
    <mergeCell ref="AJ9:AO9"/>
    <mergeCell ref="AJ10:AO10"/>
    <mergeCell ref="AH11:AI15"/>
    <mergeCell ref="AJ11:AO11"/>
    <mergeCell ref="AJ12:AO12"/>
    <mergeCell ref="AE14:AG14"/>
    <mergeCell ref="AE21:AG21"/>
    <mergeCell ref="AJ21:AO21"/>
    <mergeCell ref="AH35:AI35"/>
    <mergeCell ref="AH36:AI36"/>
    <mergeCell ref="AP36:AQ36"/>
    <mergeCell ref="AH37:AI37"/>
    <mergeCell ref="AH38:AI38"/>
    <mergeCell ref="AH20:AI22"/>
    <mergeCell ref="AH23:AI25"/>
    <mergeCell ref="AH26:AI27"/>
    <mergeCell ref="AH28:AI28"/>
    <mergeCell ref="AH32:AI32"/>
    <mergeCell ref="AH33:AI33"/>
    <mergeCell ref="AH34:AI34"/>
    <mergeCell ref="AJ1:AO1"/>
    <mergeCell ref="AR1:BC1"/>
    <mergeCell ref="BE1:BH1"/>
    <mergeCell ref="B2:C2"/>
    <mergeCell ref="D2:E2"/>
    <mergeCell ref="B3:G3"/>
    <mergeCell ref="F2:G2"/>
    <mergeCell ref="I2:J2"/>
    <mergeCell ref="I3:L3"/>
    <mergeCell ref="M3:N3"/>
    <mergeCell ref="O1:P1"/>
    <mergeCell ref="O2:P2"/>
    <mergeCell ref="O3:P3"/>
    <mergeCell ref="Q3:R3"/>
    <mergeCell ref="A1:A2"/>
    <mergeCell ref="B1:G1"/>
    <mergeCell ref="H1:H2"/>
    <mergeCell ref="I1:L1"/>
    <mergeCell ref="M1:N2"/>
    <mergeCell ref="Q1:R2"/>
    <mergeCell ref="K2:L2"/>
    <mergeCell ref="AP1:AQ2"/>
    <mergeCell ref="AR2:AT2"/>
    <mergeCell ref="AU2:AW2"/>
    <mergeCell ref="AX2:AZ2"/>
    <mergeCell ref="BA2:BB2"/>
    <mergeCell ref="BF2:BG2"/>
    <mergeCell ref="AH3:AI3"/>
    <mergeCell ref="AJ3:AO3"/>
    <mergeCell ref="AP3:AQ3"/>
    <mergeCell ref="AR3:BB3"/>
    <mergeCell ref="AR4:BC4"/>
    <mergeCell ref="S2:T2"/>
    <mergeCell ref="U2:V2"/>
    <mergeCell ref="S3:V3"/>
    <mergeCell ref="W3:X3"/>
    <mergeCell ref="Y3:AB3"/>
    <mergeCell ref="AC3:AD3"/>
    <mergeCell ref="AE3:AG3"/>
    <mergeCell ref="AH1:AI2"/>
    <mergeCell ref="AJ2:AK2"/>
    <mergeCell ref="AE4:AG4"/>
    <mergeCell ref="AJ4:AL4"/>
    <mergeCell ref="AM4:AO4"/>
    <mergeCell ref="S1:V1"/>
    <mergeCell ref="W1:X2"/>
    <mergeCell ref="Y1:AB1"/>
    <mergeCell ref="AC1:AD2"/>
    <mergeCell ref="AE1:AG1"/>
    <mergeCell ref="AE2:AF2"/>
    <mergeCell ref="AL2:AM2"/>
    <mergeCell ref="I4:L4"/>
    <mergeCell ref="I5:L5"/>
    <mergeCell ref="Y4:AB4"/>
    <mergeCell ref="Y5:AB5"/>
    <mergeCell ref="F6:G6"/>
    <mergeCell ref="I6:L6"/>
    <mergeCell ref="S5:V5"/>
    <mergeCell ref="S6:V6"/>
    <mergeCell ref="Y6:AB6"/>
    <mergeCell ref="AE6:AG6"/>
    <mergeCell ref="I7:L7"/>
    <mergeCell ref="I8:L8"/>
    <mergeCell ref="I11:L11"/>
    <mergeCell ref="O11:P11"/>
    <mergeCell ref="S11:V11"/>
    <mergeCell ref="H4:H11"/>
    <mergeCell ref="M4:N10"/>
    <mergeCell ref="O4:P4"/>
    <mergeCell ref="Q4:R10"/>
    <mergeCell ref="O5:P5"/>
    <mergeCell ref="O8:P8"/>
    <mergeCell ref="I10:L10"/>
    <mergeCell ref="O17:P17"/>
    <mergeCell ref="S18:V18"/>
    <mergeCell ref="W18:X22"/>
    <mergeCell ref="Y18:AB18"/>
    <mergeCell ref="AC18:AD21"/>
    <mergeCell ref="S19:V19"/>
    <mergeCell ref="S20:V20"/>
    <mergeCell ref="Y19:AB19"/>
    <mergeCell ref="Y20:AB20"/>
    <mergeCell ref="Y26:AB26"/>
    <mergeCell ref="AC26:AD27"/>
    <mergeCell ref="Y27:AB27"/>
    <mergeCell ref="Y28:AB28"/>
    <mergeCell ref="AC28:AD28"/>
    <mergeCell ref="Y32:AB32"/>
    <mergeCell ref="AC32:AD32"/>
    <mergeCell ref="Y33:AB33"/>
    <mergeCell ref="AC33:AD33"/>
    <mergeCell ref="Y34:AA34"/>
    <mergeCell ref="AC34:AD34"/>
    <mergeCell ref="AC35:AD35"/>
    <mergeCell ref="AC38:AD38"/>
    <mergeCell ref="AC39:AD39"/>
    <mergeCell ref="Y35:AB35"/>
    <mergeCell ref="Y36:Z36"/>
    <mergeCell ref="AC36:AD36"/>
    <mergeCell ref="Y37:AB37"/>
    <mergeCell ref="AC37:AD37"/>
    <mergeCell ref="Y38:Z38"/>
    <mergeCell ref="AA38:AB38"/>
    <mergeCell ref="AE22:AG22"/>
    <mergeCell ref="AJ22:AO22"/>
    <mergeCell ref="AJ23:AM23"/>
    <mergeCell ref="AN23:AO23"/>
    <mergeCell ref="AE24:AG24"/>
    <mergeCell ref="AJ24:AO24"/>
    <mergeCell ref="AE25:AG25"/>
    <mergeCell ref="AJ25:AO25"/>
    <mergeCell ref="AJ26:AO26"/>
    <mergeCell ref="AR36:BC36"/>
    <mergeCell ref="AE36:AG36"/>
    <mergeCell ref="AF37:AG37"/>
    <mergeCell ref="AE38:AG38"/>
    <mergeCell ref="AE39:AG39"/>
    <mergeCell ref="AE26:AG26"/>
    <mergeCell ref="AE27:AG27"/>
    <mergeCell ref="AE28:AG28"/>
    <mergeCell ref="AE32:AG32"/>
    <mergeCell ref="AE33:AG33"/>
    <mergeCell ref="AE34:AG34"/>
    <mergeCell ref="AE35:AG35"/>
    <mergeCell ref="AJ37:AO37"/>
    <mergeCell ref="AJ38:AO38"/>
    <mergeCell ref="AJ27:AO27"/>
    <mergeCell ref="AJ28:AO28"/>
    <mergeCell ref="AJ32:AO32"/>
    <mergeCell ref="AJ33:AO33"/>
    <mergeCell ref="AJ34:AO34"/>
    <mergeCell ref="AK35:AO35"/>
    <mergeCell ref="AJ36:AO36"/>
  </mergeCells>
  <conditionalFormatting sqref="Y33 AJ38:AK38 AE39:AF39">
    <cfRule type="containsText" dxfId="27" priority="1" operator="containsText" text="SO">
      <formula>NOT(ISERROR(SEARCH(("SO"),(Y33))))</formula>
    </cfRule>
  </conditionalFormatting>
  <conditionalFormatting sqref="Y33 AJ38:AK38 AE39:AF39">
    <cfRule type="containsText" dxfId="28" priority="2" operator="containsText" text="N.v.t.">
      <formula>NOT(ISERROR(SEARCH(("N.v.t."),(Y33))))</formula>
    </cfRule>
  </conditionalFormatting>
  <conditionalFormatting sqref="Y33 AJ38:AK38 AE39:AF39">
    <cfRule type="containsText" dxfId="29" priority="3" operator="containsText" text="Voor">
      <formula>NOT(ISERROR(SEARCH(("Voor"),(Y33))))</formula>
    </cfRule>
  </conditionalFormatting>
  <conditionalFormatting sqref="Y33 AJ38:AK38 AE39:AF39">
    <cfRule type="containsText" dxfId="30" priority="4" operator="containsText" text="Tegen">
      <formula>NOT(ISERROR(SEARCH(("Tegen"),(Y33))))</formula>
    </cfRule>
  </conditionalFormatting>
  <conditionalFormatting sqref="Y33 AJ38:AK38 AE39:AF39">
    <cfRule type="containsText" dxfId="31" priority="5" operator="containsText" text="N.v.t.">
      <formula>NOT(ISERROR(SEARCH(("N.v.t."),(Y33))))</formula>
    </cfRule>
  </conditionalFormatting>
  <conditionalFormatting sqref="Y33 AJ38:AK38 AE39:AF39">
    <cfRule type="cellIs" dxfId="27" priority="6" operator="equal">
      <formula>"SO"</formula>
    </cfRule>
  </conditionalFormatting>
  <conditionalFormatting sqref="Y33 AJ38:AK38 AE39:AF39">
    <cfRule type="cellIs" dxfId="32" priority="7" operator="equal">
      <formula>"NG"</formula>
    </cfRule>
  </conditionalFormatting>
  <conditionalFormatting sqref="Y33:Y36 AJ35:AK35 AE36:AF36 AJ38:AK38 AE39:AF39">
    <cfRule type="containsText" dxfId="0" priority="8" operator="containsText" text="voor">
      <formula>NOT(ISERROR(SEARCH(("voor"),(Y33))))</formula>
    </cfRule>
  </conditionalFormatting>
  <conditionalFormatting sqref="Y33:Y36 AJ35:AK35 AE36:AF36 AJ38:AK38 AE39:AF39">
    <cfRule type="containsText" dxfId="1" priority="9" operator="containsText" text="tegen">
      <formula>NOT(ISERROR(SEARCH(("tegen"),(Y33))))</formula>
    </cfRule>
  </conditionalFormatting>
  <conditionalFormatting sqref="Y33 AJ38:AK38 AE39:AF39">
    <cfRule type="containsText" dxfId="33" priority="10" operator="containsText" text="SO">
      <formula>NOT(ISERROR(SEARCH(("SO"),(Y33))))</formula>
    </cfRule>
  </conditionalFormatting>
  <conditionalFormatting sqref="Y33 AJ38:AK38 AE39:AF39">
    <cfRule type="containsText" dxfId="34" priority="11" operator="containsText" text="NG">
      <formula>NOT(ISERROR(SEARCH(("NG"),(Y33))))</formula>
    </cfRule>
  </conditionalFormatting>
  <conditionalFormatting sqref="Y21 Y33 AJ38:AK38 AE39:AF39">
    <cfRule type="containsText" dxfId="5" priority="12" operator="containsText" text="NG">
      <formula>NOT(ISERROR(SEARCH(("NG"),(Y21))))</formula>
    </cfRule>
  </conditionalFormatting>
  <conditionalFormatting sqref="AE4:AF9 AJ4:AK15 Y18:Y22 AE18:AF25 AJ20:AK22 Y25 AJ26:AK27 Y33 Y36 AJ38:AK38 AE39:AF39">
    <cfRule type="containsText" dxfId="2" priority="13" operator="containsText" text="SO">
      <formula>NOT(ISERROR(SEARCH(("SO"),(AE4))))</formula>
    </cfRule>
  </conditionalFormatting>
  <conditionalFormatting sqref="AE4:AF9 AJ4:AK15 Y18:Y22 AE18:AF25 AJ20:AK22 Y25 AJ26:AK27 Y36">
    <cfRule type="containsText" dxfId="3" priority="14" operator="containsText" text="tegen">
      <formula>NOT(ISERROR(SEARCH(("tegen"),(AE4))))</formula>
    </cfRule>
  </conditionalFormatting>
  <conditionalFormatting sqref="AE4:AF9 AJ4:AK15 Y18:Y22 AE18:AF25 AJ20:AK22 Y25 AJ26:AK27 Y33 Y36 AJ38:AK38 AE39:AF39">
    <cfRule type="containsText" dxfId="4" priority="15" operator="containsText" text="voor">
      <formula>NOT(ISERROR(SEARCH(("voor"),(AE4))))</formula>
    </cfRule>
  </conditionalFormatting>
  <conditionalFormatting sqref="AE4:AF9 AJ4:AK15 Y18:Y22 AE18:AF25 AJ20:AK22 Y25 AJ26:AK27 Y36">
    <cfRule type="cellIs" dxfId="5" priority="16" operator="equal">
      <formula>"NG"</formula>
    </cfRule>
  </conditionalFormatting>
  <conditionalFormatting sqref="AE4:AF9 AJ4:AK15 Y18:Y22 AE18:AF25 AJ20:AK22 Y25 AJ26:AK27 Y33 Y36 AJ38:AK38 AE39:AF39">
    <cfRule type="containsText" dxfId="6" priority="17" operator="containsText" text="NVT">
      <formula>NOT(ISERROR(SEARCH(("NVT"),(AE4))))</formula>
    </cfRule>
  </conditionalFormatting>
  <drawing r:id="rId2"/>
  <legacyDrawing r:id="rId3"/>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AA84F"/>
    <outlinePr summaryBelow="0" summaryRight="0"/>
  </sheetPr>
  <sheetViews>
    <sheetView showGridLines="0" workbookViewId="0"/>
  </sheetViews>
  <sheetFormatPr customHeight="1" defaultColWidth="14.43" defaultRowHeight="15.75"/>
  <cols>
    <col customWidth="1" min="1" max="1" width="5.57"/>
    <col customWidth="1" min="2" max="2" width="0.57"/>
    <col customWidth="1" min="3" max="3" width="5.57"/>
    <col customWidth="1" min="4" max="4" width="0.57"/>
    <col customWidth="1" min="5" max="5" width="5.57"/>
    <col customWidth="1" min="6" max="6" width="0.57"/>
    <col customWidth="1" min="7" max="7" width="5.57"/>
    <col customWidth="1" min="8" max="8" width="0.57"/>
    <col customWidth="1" min="9" max="9" width="5.57"/>
    <col customWidth="1" min="10" max="10" width="0.57"/>
    <col customWidth="1" min="11" max="11" width="5.57"/>
    <col customWidth="1" min="12" max="12" width="0.57"/>
    <col customWidth="1" min="13" max="13" width="5.57"/>
    <col customWidth="1" min="14" max="14" width="0.57"/>
    <col customWidth="1" min="15" max="15" width="5.57"/>
    <col customWidth="1" min="16" max="16" width="0.57"/>
    <col customWidth="1" min="17" max="17" width="5.57"/>
    <col customWidth="1" min="18" max="18" width="0.57"/>
    <col customWidth="1" min="19" max="19" width="5.57"/>
    <col customWidth="1" min="20" max="20" width="0.57"/>
    <col customWidth="1" min="21" max="21" width="5.57"/>
    <col customWidth="1" min="22" max="22" width="0.57"/>
    <col customWidth="1" min="23" max="23" width="5.57"/>
    <col customWidth="1" min="24" max="24" width="0.57"/>
    <col customWidth="1" min="25" max="25" width="5.57"/>
    <col customWidth="1" min="26" max="26" width="0.57"/>
    <col customWidth="1" min="27" max="27" width="5.57"/>
    <col customWidth="1" min="28" max="28" width="0.57"/>
    <col customWidth="1" min="29" max="29" width="5.57"/>
    <col customWidth="1" min="30" max="30" width="0.57"/>
    <col customWidth="1" min="31" max="31" width="5.57"/>
    <col customWidth="1" min="32" max="32" width="0.57"/>
    <col customWidth="1" min="33" max="33" width="5.57"/>
    <col customWidth="1" min="34" max="34" width="0.57"/>
    <col customWidth="1" min="35" max="35" width="5.57"/>
    <col customWidth="1" min="36" max="36" width="0.57"/>
    <col customWidth="1" min="37" max="37" width="5.57"/>
    <col customWidth="1" min="38" max="38" width="0.57"/>
    <col customWidth="1" min="39" max="39" width="5.57"/>
    <col customWidth="1" min="40" max="40" width="0.57"/>
    <col customWidth="1" min="41" max="41" width="5.57"/>
    <col customWidth="1" min="42" max="42" width="0.57"/>
    <col customWidth="1" min="43" max="43" width="5.57"/>
    <col customWidth="1" min="44" max="44" width="0.57"/>
    <col customWidth="1" min="45" max="45" width="5.57"/>
    <col customWidth="1" min="46" max="46" width="0.57"/>
    <col customWidth="1" min="47" max="47" width="5.57"/>
    <col customWidth="1" min="48" max="48" width="0.57"/>
    <col customWidth="1" min="49" max="49" width="5.57"/>
    <col customWidth="1" min="50" max="50" width="0.57"/>
    <col customWidth="1" min="51" max="51" width="5.57"/>
    <col customWidth="1" min="52" max="52" width="0.57"/>
    <col customWidth="1" min="53" max="53" width="5.57"/>
    <col customWidth="1" min="54" max="54" width="0.57"/>
    <col customWidth="1" min="55" max="55" width="5.57"/>
    <col customWidth="1" min="56" max="56" width="0.57"/>
  </cols>
  <sheetData>
    <row r="1" ht="7.5" customHeight="1">
      <c r="A1" s="1275"/>
      <c r="B1" s="1275"/>
      <c r="C1" s="1275"/>
      <c r="D1" s="1275"/>
      <c r="E1" s="1275"/>
      <c r="F1" s="1275"/>
      <c r="G1" s="1275"/>
      <c r="H1" s="1275"/>
      <c r="I1" s="1275"/>
      <c r="J1" s="1275"/>
      <c r="K1" s="1275"/>
      <c r="L1" s="1275"/>
      <c r="M1" s="1275"/>
      <c r="N1" s="1275"/>
      <c r="O1" s="1275"/>
      <c r="P1" s="1275"/>
      <c r="Q1" s="1275"/>
      <c r="R1" s="1275"/>
      <c r="S1" s="1275"/>
      <c r="T1" s="1275"/>
      <c r="U1" s="1275"/>
      <c r="V1" s="1275"/>
      <c r="W1" s="1275"/>
      <c r="X1" s="1275"/>
      <c r="Y1" s="1275"/>
      <c r="Z1" s="1275"/>
      <c r="AA1" s="1275"/>
      <c r="AB1" s="1275"/>
      <c r="AC1" s="1275"/>
      <c r="AD1" s="1275"/>
      <c r="AE1" s="1275"/>
      <c r="AF1" s="1275"/>
      <c r="AG1" s="1276"/>
      <c r="AH1" s="1277"/>
      <c r="AI1" s="1277"/>
      <c r="AJ1" s="1277"/>
      <c r="AK1" s="1278" t="s">
        <v>1021</v>
      </c>
      <c r="AL1" s="1179"/>
      <c r="AM1" s="1179"/>
      <c r="AN1" s="1179"/>
      <c r="AO1" s="1179"/>
      <c r="AP1" s="1179"/>
      <c r="AQ1" s="1179"/>
      <c r="AR1" s="1179"/>
      <c r="AS1" s="1179"/>
      <c r="AT1" s="1179"/>
      <c r="AU1" s="1179"/>
      <c r="AV1" s="1179"/>
      <c r="AW1" s="1179"/>
      <c r="AX1" s="1179"/>
      <c r="AY1" s="1179"/>
      <c r="AZ1" s="1179"/>
      <c r="BA1" s="1179"/>
      <c r="BB1" s="1277"/>
      <c r="BC1" s="1277"/>
      <c r="BD1" s="1279"/>
    </row>
    <row r="2" ht="2.25" customHeight="1">
      <c r="A2" s="1280"/>
      <c r="B2" s="1280"/>
      <c r="C2" s="1280"/>
      <c r="D2" s="1281"/>
      <c r="E2" s="1282"/>
      <c r="F2" s="1282"/>
      <c r="G2" s="1282"/>
      <c r="H2" s="1282"/>
      <c r="I2" s="1282"/>
      <c r="J2" s="1282"/>
      <c r="K2" s="1282"/>
      <c r="L2" s="1282"/>
      <c r="M2" s="1282"/>
      <c r="N2" s="1283"/>
      <c r="O2" s="1280"/>
      <c r="P2" s="1280"/>
      <c r="Q2" s="1280"/>
      <c r="R2" s="1280"/>
      <c r="S2" s="1280"/>
      <c r="T2" s="1280"/>
      <c r="U2" s="1280"/>
      <c r="V2" s="1280"/>
      <c r="W2" s="1280"/>
      <c r="X2" s="1280"/>
      <c r="Y2" s="1280"/>
      <c r="Z2" s="1280"/>
      <c r="AA2" s="1280"/>
      <c r="AB2" s="1280"/>
      <c r="AC2" s="1280"/>
      <c r="AD2" s="1280"/>
      <c r="AE2" s="1280"/>
      <c r="AF2" s="1280"/>
      <c r="AG2" s="1284"/>
      <c r="AH2" s="1285"/>
      <c r="AI2" s="1285"/>
      <c r="AJ2" s="1285"/>
      <c r="BB2" s="1285"/>
      <c r="BC2" s="1285"/>
      <c r="BD2" s="1286"/>
    </row>
    <row r="3" ht="28.5" customHeight="1">
      <c r="A3" s="1280"/>
      <c r="B3" s="1280"/>
      <c r="C3" s="1280"/>
      <c r="D3" s="1287"/>
      <c r="E3" s="1288" t="s">
        <v>1390</v>
      </c>
      <c r="N3" s="1289"/>
      <c r="O3" s="1280"/>
      <c r="P3" s="1280"/>
      <c r="Q3" s="398"/>
      <c r="R3" s="1280"/>
      <c r="S3" s="1280"/>
      <c r="T3" s="1290"/>
      <c r="U3" s="1290"/>
      <c r="V3" s="1290"/>
      <c r="W3" s="1290"/>
      <c r="X3" s="1290"/>
      <c r="Y3" s="1290"/>
      <c r="Z3" s="1290"/>
      <c r="AA3" s="1290"/>
      <c r="AB3" s="1290"/>
      <c r="AC3" s="1290"/>
      <c r="AD3" s="1290"/>
      <c r="AE3" s="1280"/>
      <c r="AF3" s="1280"/>
      <c r="AG3" s="1284"/>
      <c r="AH3" s="1285"/>
      <c r="AI3" s="1285"/>
      <c r="AJ3" s="1285"/>
      <c r="BB3" s="1285"/>
      <c r="BC3" s="1285"/>
      <c r="BD3" s="1286"/>
    </row>
    <row r="4" ht="2.25" customHeight="1">
      <c r="A4" s="1280"/>
      <c r="B4" s="1280"/>
      <c r="C4" s="1280"/>
      <c r="D4" s="1287"/>
      <c r="N4" s="1289"/>
      <c r="O4" s="1280"/>
      <c r="P4" s="1280"/>
      <c r="Q4" s="398"/>
      <c r="R4" s="1280"/>
      <c r="S4" s="1280"/>
      <c r="T4" s="1281"/>
      <c r="U4" s="1282"/>
      <c r="V4" s="1282"/>
      <c r="W4" s="1282"/>
      <c r="X4" s="1282"/>
      <c r="Y4" s="1282"/>
      <c r="Z4" s="1282"/>
      <c r="AA4" s="1282"/>
      <c r="AB4" s="1282"/>
      <c r="AC4" s="1282"/>
      <c r="AD4" s="1283"/>
      <c r="AE4" s="1280"/>
      <c r="AF4" s="1280"/>
      <c r="AG4" s="1284"/>
      <c r="AH4" s="1285"/>
      <c r="AI4" s="1285"/>
      <c r="AJ4" s="1285"/>
      <c r="BB4" s="1285"/>
      <c r="BC4" s="1285"/>
      <c r="BD4" s="1286"/>
    </row>
    <row r="5" ht="28.5" customHeight="1">
      <c r="A5" s="1280"/>
      <c r="B5" s="1280"/>
      <c r="C5" s="1280"/>
      <c r="D5" s="1287"/>
      <c r="N5" s="1289"/>
      <c r="O5" s="1280"/>
      <c r="P5" s="1280"/>
      <c r="Q5" s="398"/>
      <c r="R5" s="1280"/>
      <c r="S5" s="1280"/>
      <c r="T5" s="1287"/>
      <c r="U5" s="1291"/>
      <c r="V5" s="1292"/>
      <c r="W5" s="1293" t="s">
        <v>253</v>
      </c>
      <c r="X5" s="1292"/>
      <c r="Y5" s="1294" t="s">
        <v>363</v>
      </c>
      <c r="Z5" s="1292"/>
      <c r="AA5" s="1293" t="s">
        <v>216</v>
      </c>
      <c r="AB5" s="1292"/>
      <c r="AC5" s="1291"/>
      <c r="AD5" s="1289"/>
      <c r="AE5" s="1280"/>
      <c r="AF5" s="1280"/>
      <c r="AG5" s="1284"/>
      <c r="AH5" s="1285"/>
      <c r="AI5" s="1285"/>
      <c r="AJ5" s="1285"/>
      <c r="BB5" s="1285"/>
      <c r="BC5" s="1285"/>
      <c r="BD5" s="1286"/>
    </row>
    <row r="6" ht="2.25" customHeight="1">
      <c r="A6" s="1280"/>
      <c r="B6" s="1280"/>
      <c r="C6" s="1280"/>
      <c r="D6" s="1287"/>
      <c r="E6" s="1295"/>
      <c r="F6" s="1295"/>
      <c r="G6" s="1295"/>
      <c r="H6" s="1295"/>
      <c r="I6" s="1295"/>
      <c r="J6" s="1295"/>
      <c r="K6" s="1295"/>
      <c r="L6" s="1295"/>
      <c r="M6" s="1295"/>
      <c r="N6" s="1289"/>
      <c r="O6" s="1280"/>
      <c r="P6" s="1280"/>
      <c r="Q6" s="1280"/>
      <c r="R6" s="1280"/>
      <c r="S6" s="1280"/>
      <c r="T6" s="1287"/>
      <c r="U6" s="1292"/>
      <c r="V6" s="1292"/>
      <c r="W6" s="1292"/>
      <c r="X6" s="1292"/>
      <c r="Y6" s="1292"/>
      <c r="Z6" s="1292"/>
      <c r="AA6" s="1292"/>
      <c r="AB6" s="1292"/>
      <c r="AC6" s="1292"/>
      <c r="AD6" s="1289"/>
      <c r="AE6" s="1280"/>
      <c r="AF6" s="1280"/>
      <c r="AG6" s="1280"/>
      <c r="AH6" s="1296"/>
      <c r="AI6" s="1285"/>
      <c r="AJ6" s="1285"/>
      <c r="BB6" s="1285"/>
      <c r="BC6" s="1285"/>
      <c r="BD6" s="1286"/>
    </row>
    <row r="7" ht="28.5" customHeight="1">
      <c r="A7" s="1280"/>
      <c r="B7" s="1280"/>
      <c r="C7" s="1280"/>
      <c r="D7" s="1287"/>
      <c r="E7" s="1297" t="s">
        <v>1391</v>
      </c>
      <c r="F7" s="1298"/>
      <c r="G7" s="1291"/>
      <c r="H7" s="1291"/>
      <c r="I7" s="1299"/>
      <c r="J7" s="1295"/>
      <c r="K7" s="1300" t="s">
        <v>1392</v>
      </c>
      <c r="L7" s="1298"/>
      <c r="M7" s="1301"/>
      <c r="N7" s="1289"/>
      <c r="O7" s="1280"/>
      <c r="P7" s="1280"/>
      <c r="Q7" s="1302"/>
      <c r="R7" s="1280"/>
      <c r="S7" s="1280"/>
      <c r="T7" s="1287"/>
      <c r="U7" s="34" t="s">
        <v>186</v>
      </c>
      <c r="V7" s="1292"/>
      <c r="W7" s="1293" t="s">
        <v>385</v>
      </c>
      <c r="X7" s="1292"/>
      <c r="Y7" s="34" t="s">
        <v>1393</v>
      </c>
      <c r="Z7" s="1292"/>
      <c r="AA7" s="1294" t="s">
        <v>247</v>
      </c>
      <c r="AB7" s="1292"/>
      <c r="AC7" s="34" t="s">
        <v>218</v>
      </c>
      <c r="AD7" s="1289"/>
      <c r="AE7" s="1280"/>
      <c r="AF7" s="1280"/>
      <c r="AG7" s="1280"/>
      <c r="AH7" s="1296"/>
      <c r="AI7" s="1303" t="s">
        <v>1394</v>
      </c>
      <c r="BD7" s="1286"/>
    </row>
    <row r="8" ht="2.25" customHeight="1">
      <c r="A8" s="1280"/>
      <c r="B8" s="1280"/>
      <c r="C8" s="1280"/>
      <c r="D8" s="1287"/>
      <c r="E8" s="1295"/>
      <c r="F8" s="1295"/>
      <c r="G8" s="1295"/>
      <c r="H8" s="1295"/>
      <c r="I8" s="1295"/>
      <c r="J8" s="1295"/>
      <c r="K8" s="1295"/>
      <c r="L8" s="1295"/>
      <c r="M8" s="1295"/>
      <c r="N8" s="1289"/>
      <c r="O8" s="1280"/>
      <c r="P8" s="1280"/>
      <c r="Q8" s="1280"/>
      <c r="R8" s="1280"/>
      <c r="S8" s="1280"/>
      <c r="T8" s="1304"/>
      <c r="U8" s="1305"/>
      <c r="V8" s="1305"/>
      <c r="W8" s="1305"/>
      <c r="X8" s="1305"/>
      <c r="Y8" s="1305"/>
      <c r="Z8" s="1305"/>
      <c r="AA8" s="1305"/>
      <c r="AB8" s="1305"/>
      <c r="AC8" s="1305"/>
      <c r="AD8" s="1306"/>
      <c r="AE8" s="1280"/>
      <c r="AF8" s="1280"/>
      <c r="AG8" s="1280"/>
      <c r="AH8" s="1296"/>
      <c r="BD8" s="1286"/>
    </row>
    <row r="9" ht="28.5" customHeight="1">
      <c r="A9" s="1280"/>
      <c r="B9" s="1280"/>
      <c r="C9" s="1307"/>
      <c r="D9" s="1308"/>
      <c r="E9" s="1298"/>
      <c r="F9" s="1298"/>
      <c r="G9" s="1298"/>
      <c r="H9" s="1298"/>
      <c r="I9" s="1309" t="s">
        <v>1395</v>
      </c>
      <c r="J9" s="1295"/>
      <c r="K9" s="1293" t="s">
        <v>1395</v>
      </c>
      <c r="L9" s="1298"/>
      <c r="M9" s="1310" t="s">
        <v>1395</v>
      </c>
      <c r="N9" s="1289"/>
      <c r="O9" s="1280"/>
      <c r="P9" s="1280"/>
      <c r="Q9" s="1280"/>
      <c r="R9" s="1280"/>
      <c r="S9" s="1311" t="s">
        <v>1108</v>
      </c>
      <c r="AF9" s="1307"/>
      <c r="AG9" s="1312"/>
      <c r="AH9" s="1296"/>
      <c r="BD9" s="1286"/>
    </row>
    <row r="10" ht="1.5" customHeight="1">
      <c r="A10" s="1280"/>
      <c r="B10" s="1280"/>
      <c r="C10" s="1307"/>
      <c r="D10" s="1313"/>
      <c r="E10" s="1314"/>
      <c r="F10" s="1314"/>
      <c r="G10" s="1314"/>
      <c r="H10" s="1314"/>
      <c r="I10" s="1314"/>
      <c r="J10" s="1314"/>
      <c r="K10" s="1314"/>
      <c r="L10" s="1305"/>
      <c r="M10" s="1305"/>
      <c r="N10" s="1306"/>
      <c r="O10" s="1280"/>
      <c r="P10" s="1280"/>
      <c r="Q10" s="1280"/>
      <c r="R10" s="1280"/>
      <c r="S10" s="1280"/>
      <c r="T10" s="1280"/>
      <c r="U10" s="1280"/>
      <c r="V10" s="1280"/>
      <c r="W10" s="1280"/>
      <c r="X10" s="1280"/>
      <c r="Y10" s="1280"/>
      <c r="Z10" s="1280"/>
      <c r="AA10" s="1280"/>
      <c r="AB10" s="1280"/>
      <c r="AC10" s="1280"/>
      <c r="AD10" s="1280"/>
      <c r="AE10" s="1307"/>
      <c r="AF10" s="1307"/>
      <c r="AG10" s="1280"/>
      <c r="AH10" s="1315"/>
      <c r="AI10" s="1316"/>
      <c r="AJ10" s="1316"/>
      <c r="AK10" s="1316"/>
      <c r="AL10" s="1316"/>
      <c r="AM10" s="1316"/>
      <c r="AN10" s="1317"/>
      <c r="AO10" s="1316"/>
      <c r="AP10" s="1316"/>
      <c r="AQ10" s="1316"/>
      <c r="AR10" s="1316"/>
      <c r="AS10" s="1316"/>
      <c r="AT10" s="1316"/>
      <c r="AU10" s="1317"/>
      <c r="AV10" s="1317"/>
      <c r="AW10" s="1317"/>
      <c r="AX10" s="1317"/>
      <c r="AY10" s="1317"/>
      <c r="AZ10" s="1317"/>
      <c r="BA10" s="1317"/>
      <c r="BB10" s="1317"/>
      <c r="BC10" s="1317"/>
      <c r="BD10" s="8"/>
    </row>
    <row r="11" ht="28.5" customHeight="1">
      <c r="A11" s="1280"/>
      <c r="B11" s="1280"/>
      <c r="C11" s="1307"/>
      <c r="D11" s="1307"/>
      <c r="E11" s="1318"/>
      <c r="F11" s="1290"/>
      <c r="G11" s="1290"/>
      <c r="H11" s="1290"/>
      <c r="I11" s="1290"/>
      <c r="J11" s="1290"/>
      <c r="K11" s="1290"/>
      <c r="L11" s="1290"/>
      <c r="M11" s="1290"/>
      <c r="N11" s="1290"/>
      <c r="O11" s="1290"/>
      <c r="P11" s="1290"/>
      <c r="Q11" s="1290"/>
      <c r="R11" s="1290"/>
      <c r="S11" s="1290"/>
      <c r="T11" s="1290"/>
      <c r="U11" s="1290"/>
      <c r="V11" s="1290"/>
      <c r="W11" s="1290"/>
      <c r="X11" s="1290"/>
      <c r="Y11" s="1290"/>
      <c r="Z11" s="1290"/>
      <c r="AA11" s="1290"/>
      <c r="AB11" s="1290"/>
      <c r="AC11" s="1319"/>
      <c r="AD11" s="1307"/>
      <c r="AE11" s="1307"/>
      <c r="AF11" s="1307"/>
      <c r="AG11" s="1280"/>
      <c r="AH11" s="1320"/>
      <c r="AI11" s="1321" t="s">
        <v>1396</v>
      </c>
      <c r="AJ11" s="1179"/>
      <c r="AK11" s="1179"/>
      <c r="AL11" s="1179"/>
      <c r="AM11" s="1179"/>
      <c r="AN11" s="1179"/>
      <c r="AO11" s="1179"/>
      <c r="AP11" s="1179"/>
      <c r="AQ11" s="1179"/>
      <c r="AR11" s="1179"/>
      <c r="AS11" s="1179"/>
      <c r="AT11" s="1179"/>
      <c r="AU11" s="1179"/>
      <c r="AV11" s="1284"/>
      <c r="AW11" s="1322"/>
      <c r="BD11" s="1323"/>
    </row>
    <row r="12" ht="2.25" customHeight="1">
      <c r="A12" s="1280"/>
      <c r="B12" s="1280"/>
      <c r="C12" s="1307"/>
      <c r="D12" s="1307"/>
      <c r="E12" s="1290"/>
      <c r="F12" s="1290"/>
      <c r="G12" s="1290"/>
      <c r="H12" s="1290"/>
      <c r="I12" s="1290"/>
      <c r="J12" s="1290"/>
      <c r="K12" s="1290"/>
      <c r="L12" s="1290"/>
      <c r="M12" s="1290"/>
      <c r="N12" s="1290"/>
      <c r="O12" s="1290"/>
      <c r="P12" s="1290"/>
      <c r="Q12" s="1290"/>
      <c r="R12" s="1290"/>
      <c r="S12" s="1290"/>
      <c r="T12" s="1290"/>
      <c r="U12" s="1290"/>
      <c r="V12" s="1290"/>
      <c r="W12" s="1290"/>
      <c r="X12" s="1290"/>
      <c r="Y12" s="1290"/>
      <c r="Z12" s="1290"/>
      <c r="AA12" s="1290"/>
      <c r="AB12" s="1290"/>
      <c r="AC12" s="1290"/>
      <c r="AD12" s="1324"/>
      <c r="AE12" s="1324"/>
      <c r="AF12" s="1324"/>
      <c r="AG12" s="1280"/>
      <c r="AH12" s="1320"/>
      <c r="AI12" s="1280"/>
      <c r="AJ12" s="1280"/>
      <c r="AK12" s="1280"/>
      <c r="AL12" s="1280"/>
      <c r="AM12" s="1280"/>
      <c r="AN12" s="1281"/>
      <c r="AO12" s="1282"/>
      <c r="AP12" s="1283"/>
      <c r="AQ12" s="1280"/>
      <c r="AR12" s="1280"/>
      <c r="AS12" s="1280"/>
      <c r="AT12" s="1280"/>
      <c r="AU12" s="1280"/>
      <c r="AV12" s="1284"/>
      <c r="AW12" s="1325"/>
      <c r="AX12" s="1325"/>
      <c r="AY12" s="1325"/>
      <c r="AZ12" s="1325"/>
      <c r="BA12" s="1325"/>
      <c r="BB12" s="1325"/>
      <c r="BC12" s="1325"/>
      <c r="BD12" s="1323"/>
    </row>
    <row r="13" ht="28.5" customHeight="1">
      <c r="A13" s="1280"/>
      <c r="B13" s="1280"/>
      <c r="C13" s="1307"/>
      <c r="D13" s="1307"/>
      <c r="E13" s="1294" t="s">
        <v>36</v>
      </c>
      <c r="F13" s="1290"/>
      <c r="G13" s="1290"/>
      <c r="H13" s="1290"/>
      <c r="I13" s="1290"/>
      <c r="J13" s="1290"/>
      <c r="K13" s="1290"/>
      <c r="L13" s="1290"/>
      <c r="M13" s="1290"/>
      <c r="N13" s="1290"/>
      <c r="O13" s="1290"/>
      <c r="P13" s="1290"/>
      <c r="Q13" s="1290"/>
      <c r="R13" s="1290"/>
      <c r="S13" s="1290"/>
      <c r="T13" s="1290"/>
      <c r="U13" s="1290"/>
      <c r="V13" s="1290"/>
      <c r="W13" s="1290"/>
      <c r="X13" s="1290"/>
      <c r="Y13" s="1290"/>
      <c r="Z13" s="1290"/>
      <c r="AA13" s="1290"/>
      <c r="AB13" s="1326"/>
      <c r="AC13" s="1327" t="s">
        <v>24</v>
      </c>
      <c r="AD13" s="1307"/>
      <c r="AE13" s="1307"/>
      <c r="AF13" s="1307"/>
      <c r="AG13" s="1280"/>
      <c r="AH13" s="1320"/>
      <c r="AI13" s="1280"/>
      <c r="AJ13" s="1280"/>
      <c r="AK13" s="1328"/>
      <c r="AL13" s="1280"/>
      <c r="AM13" s="1319"/>
      <c r="AN13" s="1308"/>
      <c r="AO13" s="1300" t="s">
        <v>1392</v>
      </c>
      <c r="AP13" s="1329"/>
      <c r="AQ13" s="1330"/>
      <c r="AR13" s="1280"/>
      <c r="AS13" s="1328"/>
      <c r="AT13" s="1280"/>
      <c r="AU13" s="1280"/>
      <c r="AV13" s="1284"/>
      <c r="AW13" s="1331" t="s">
        <v>1397</v>
      </c>
      <c r="BD13" s="1323"/>
    </row>
    <row r="14" ht="2.25" customHeight="1">
      <c r="A14" s="1280"/>
      <c r="B14" s="1280"/>
      <c r="C14" s="1307"/>
      <c r="D14" s="1307"/>
      <c r="E14" s="1290"/>
      <c r="F14" s="1290"/>
      <c r="G14" s="1290"/>
      <c r="H14" s="1290"/>
      <c r="I14" s="1332"/>
      <c r="J14" s="1290"/>
      <c r="K14" s="1290"/>
      <c r="L14" s="1290"/>
      <c r="M14" s="1290"/>
      <c r="N14" s="1290"/>
      <c r="O14" s="1290"/>
      <c r="P14" s="1333"/>
      <c r="Q14" s="1333"/>
      <c r="R14" s="1333"/>
      <c r="S14" s="1290"/>
      <c r="T14" s="1290"/>
      <c r="U14" s="1290"/>
      <c r="V14" s="1290"/>
      <c r="W14" s="1290"/>
      <c r="X14" s="1290"/>
      <c r="Y14" s="1332"/>
      <c r="Z14" s="1290"/>
      <c r="AA14" s="1290"/>
      <c r="AB14" s="1290"/>
      <c r="AC14" s="1290"/>
      <c r="AD14" s="1307"/>
      <c r="AE14" s="1307"/>
      <c r="AF14" s="1307"/>
      <c r="AG14" s="1280"/>
      <c r="AH14" s="1320"/>
      <c r="AI14" s="1280"/>
      <c r="AJ14" s="1280"/>
      <c r="AK14" s="1280"/>
      <c r="AL14" s="1281"/>
      <c r="AM14" s="1334"/>
      <c r="AN14" s="1298"/>
      <c r="AO14" s="1298"/>
      <c r="AP14" s="1298"/>
      <c r="AQ14" s="1334"/>
      <c r="AR14" s="1283"/>
      <c r="AS14" s="1280"/>
      <c r="AT14" s="1280"/>
      <c r="AU14" s="1280"/>
      <c r="AV14" s="1284"/>
      <c r="AW14" s="1280"/>
      <c r="AX14" s="1280"/>
      <c r="AY14" s="1335"/>
      <c r="AZ14" s="1335"/>
      <c r="BA14" s="1335"/>
      <c r="BB14" s="1335"/>
      <c r="BC14" s="1280"/>
      <c r="BD14" s="1284"/>
    </row>
    <row r="15" ht="28.5" customHeight="1">
      <c r="A15" s="1280"/>
      <c r="B15" s="1280"/>
      <c r="C15" s="1307"/>
      <c r="D15" s="1307"/>
      <c r="E15" s="1336"/>
      <c r="F15" s="1290"/>
      <c r="G15" s="1290"/>
      <c r="H15" s="1326"/>
      <c r="I15" s="1294" t="s">
        <v>36</v>
      </c>
      <c r="J15" s="1290"/>
      <c r="K15" s="1290"/>
      <c r="L15" s="1290"/>
      <c r="M15" s="1290"/>
      <c r="N15" s="1290"/>
      <c r="O15" s="1337"/>
      <c r="P15" s="1338"/>
      <c r="Q15" s="1338"/>
      <c r="R15" s="1339"/>
      <c r="S15" s="1336"/>
      <c r="T15" s="1290"/>
      <c r="U15" s="1290"/>
      <c r="V15" s="1290"/>
      <c r="W15" s="1290"/>
      <c r="X15" s="1326"/>
      <c r="Y15" s="1327" t="s">
        <v>24</v>
      </c>
      <c r="Z15" s="1290"/>
      <c r="AA15" s="1290"/>
      <c r="AB15" s="1290"/>
      <c r="AC15" s="1336"/>
      <c r="AD15" s="1307"/>
      <c r="AE15" s="1307"/>
      <c r="AF15" s="1307"/>
      <c r="AG15" s="1280"/>
      <c r="AH15" s="1320"/>
      <c r="AI15" s="1324"/>
      <c r="AJ15" s="1324"/>
      <c r="AK15" s="1324"/>
      <c r="AL15" s="1340"/>
      <c r="AM15" s="1309" t="s">
        <v>1395</v>
      </c>
      <c r="AN15" s="1295"/>
      <c r="AO15" s="1293" t="s">
        <v>1395</v>
      </c>
      <c r="AP15" s="1298"/>
      <c r="AQ15" s="1310" t="s">
        <v>1395</v>
      </c>
      <c r="AR15" s="1341"/>
      <c r="AS15" s="1324"/>
      <c r="AT15" s="1280"/>
      <c r="AU15" s="1280"/>
      <c r="AV15" s="1284"/>
      <c r="AW15" s="1280"/>
      <c r="AX15" s="1280"/>
      <c r="AY15" s="34" t="s">
        <v>15</v>
      </c>
      <c r="AZ15" s="1335"/>
      <c r="BA15" s="1342" t="s">
        <v>1373</v>
      </c>
      <c r="BB15" s="1335"/>
      <c r="BC15" s="1280"/>
      <c r="BD15" s="1284"/>
    </row>
    <row r="16" ht="2.25" customHeight="1">
      <c r="A16" s="1280"/>
      <c r="B16" s="1280"/>
      <c r="C16" s="1307"/>
      <c r="D16" s="1307"/>
      <c r="E16" s="1332"/>
      <c r="F16" s="1290"/>
      <c r="G16" s="1290"/>
      <c r="H16" s="1290"/>
      <c r="I16" s="1290"/>
      <c r="J16" s="1290"/>
      <c r="K16" s="1290"/>
      <c r="L16" s="1290"/>
      <c r="M16" s="1290"/>
      <c r="N16" s="1290"/>
      <c r="O16" s="1290"/>
      <c r="P16" s="1290"/>
      <c r="Q16" s="1290"/>
      <c r="R16" s="1290"/>
      <c r="S16" s="1290"/>
      <c r="T16" s="1290"/>
      <c r="U16" s="1290"/>
      <c r="V16" s="1290"/>
      <c r="W16" s="1290"/>
      <c r="X16" s="1290"/>
      <c r="Y16" s="1290"/>
      <c r="Z16" s="1290"/>
      <c r="AA16" s="1290"/>
      <c r="AB16" s="1290"/>
      <c r="AC16" s="1332"/>
      <c r="AD16" s="1307"/>
      <c r="AE16" s="1307"/>
      <c r="AF16" s="1307"/>
      <c r="AG16" s="1280"/>
      <c r="AH16" s="1320"/>
      <c r="AI16" s="1324"/>
      <c r="AJ16" s="1324"/>
      <c r="AK16" s="1324"/>
      <c r="AL16" s="1343"/>
      <c r="AM16" s="1344"/>
      <c r="AN16" s="1345"/>
      <c r="AO16" s="1346"/>
      <c r="AP16" s="1345"/>
      <c r="AQ16" s="1344"/>
      <c r="AR16" s="1347"/>
      <c r="AS16" s="1324"/>
      <c r="AT16" s="1280"/>
      <c r="AU16" s="1280"/>
      <c r="AV16" s="1284"/>
      <c r="AW16" s="1280"/>
      <c r="AX16" s="1280"/>
      <c r="AY16" s="1348"/>
      <c r="AZ16" s="1335"/>
      <c r="BA16" s="1335"/>
      <c r="BB16" s="1335"/>
      <c r="BC16" s="1280"/>
      <c r="BD16" s="1284"/>
    </row>
    <row r="17" ht="28.5" customHeight="1">
      <c r="A17" s="1280"/>
      <c r="B17" s="1280"/>
      <c r="C17" s="1307"/>
      <c r="D17" s="1307"/>
      <c r="E17" s="1294" t="s">
        <v>36</v>
      </c>
      <c r="F17" s="1290"/>
      <c r="G17" s="1290"/>
      <c r="H17" s="1290"/>
      <c r="I17" s="1336"/>
      <c r="J17" s="1290"/>
      <c r="K17" s="1290"/>
      <c r="L17" s="1290"/>
      <c r="M17" s="1290"/>
      <c r="N17" s="1290"/>
      <c r="O17" s="1290"/>
      <c r="P17" s="1290"/>
      <c r="Q17" s="1290"/>
      <c r="R17" s="1290"/>
      <c r="S17" s="1290"/>
      <c r="T17" s="1290"/>
      <c r="U17" s="1290"/>
      <c r="V17" s="1290"/>
      <c r="W17" s="1290"/>
      <c r="X17" s="1290"/>
      <c r="Y17" s="1336"/>
      <c r="Z17" s="1290"/>
      <c r="AA17" s="1290"/>
      <c r="AB17" s="1326"/>
      <c r="AC17" s="1327" t="s">
        <v>24</v>
      </c>
      <c r="AD17" s="1307"/>
      <c r="AE17" s="1307"/>
      <c r="AF17" s="1307"/>
      <c r="AG17" s="1280"/>
      <c r="AH17" s="1320"/>
      <c r="AI17" s="1349"/>
      <c r="AJ17" s="1324"/>
      <c r="AK17" s="1348"/>
      <c r="AL17" s="1324"/>
      <c r="AM17" s="1324"/>
      <c r="AN17" s="1340"/>
      <c r="AO17" s="1297" t="s">
        <v>1391</v>
      </c>
      <c r="AP17" s="1341"/>
      <c r="AQ17" s="1324"/>
      <c r="AR17" s="1324"/>
      <c r="AS17" s="1348"/>
      <c r="AT17" s="1280"/>
      <c r="AU17" s="1280"/>
      <c r="AV17" s="1284"/>
      <c r="AW17" s="1280"/>
      <c r="AX17" s="1280"/>
      <c r="AY17" s="1294" t="s">
        <v>36</v>
      </c>
      <c r="AZ17" s="1325"/>
      <c r="BA17" s="1342" t="s">
        <v>1374</v>
      </c>
      <c r="BB17" s="1335"/>
      <c r="BC17" s="1280"/>
      <c r="BD17" s="1284"/>
    </row>
    <row r="18" ht="2.25" customHeight="1">
      <c r="A18" s="1280"/>
      <c r="B18" s="1280"/>
      <c r="C18" s="1307"/>
      <c r="D18" s="1307"/>
      <c r="E18" s="1290"/>
      <c r="F18" s="1290"/>
      <c r="G18" s="1290"/>
      <c r="H18" s="1290"/>
      <c r="I18" s="1332"/>
      <c r="J18" s="1290"/>
      <c r="K18" s="1290"/>
      <c r="L18" s="1290"/>
      <c r="M18" s="1290"/>
      <c r="N18" s="1290"/>
      <c r="O18" s="1290"/>
      <c r="P18" s="1290"/>
      <c r="Q18" s="1290"/>
      <c r="R18" s="1290"/>
      <c r="S18" s="1290"/>
      <c r="T18" s="1290"/>
      <c r="U18" s="1290"/>
      <c r="V18" s="1290"/>
      <c r="W18" s="1290"/>
      <c r="X18" s="1290"/>
      <c r="Y18" s="1332"/>
      <c r="Z18" s="1290"/>
      <c r="AA18" s="1290"/>
      <c r="AB18" s="1290"/>
      <c r="AC18" s="1290"/>
      <c r="AD18" s="1307"/>
      <c r="AE18" s="1307"/>
      <c r="AF18" s="1307"/>
      <c r="AG18" s="1280"/>
      <c r="AH18" s="1320"/>
      <c r="AI18" s="1324"/>
      <c r="AJ18" s="1324"/>
      <c r="AK18" s="1348"/>
      <c r="AL18" s="1324"/>
      <c r="AM18" s="1324"/>
      <c r="AN18" s="1343"/>
      <c r="AO18" s="1344"/>
      <c r="AP18" s="1347"/>
      <c r="AQ18" s="1324"/>
      <c r="AR18" s="1324"/>
      <c r="AS18" s="1348"/>
      <c r="AT18" s="1280"/>
      <c r="AU18" s="1280"/>
      <c r="AV18" s="1284"/>
      <c r="AW18" s="1280"/>
      <c r="AX18" s="1280"/>
      <c r="AY18" s="1348"/>
      <c r="AZ18" s="1335"/>
      <c r="BA18" s="1335"/>
      <c r="BB18" s="1335"/>
      <c r="BC18" s="1280"/>
      <c r="BD18" s="1284"/>
    </row>
    <row r="19" ht="28.5" customHeight="1">
      <c r="A19" s="1280"/>
      <c r="B19" s="1280"/>
      <c r="C19" s="1307"/>
      <c r="D19" s="1307"/>
      <c r="E19" s="1336"/>
      <c r="F19" s="1290"/>
      <c r="G19" s="1290"/>
      <c r="H19" s="1326"/>
      <c r="I19" s="1294" t="s">
        <v>36</v>
      </c>
      <c r="J19" s="1290"/>
      <c r="K19" s="1290"/>
      <c r="L19" s="1290"/>
      <c r="M19" s="1290"/>
      <c r="N19" s="1290"/>
      <c r="O19" s="1290"/>
      <c r="P19" s="1290"/>
      <c r="Q19" s="1290"/>
      <c r="R19" s="1290"/>
      <c r="S19" s="1290"/>
      <c r="T19" s="1290"/>
      <c r="U19" s="1290"/>
      <c r="V19" s="1290"/>
      <c r="W19" s="1290"/>
      <c r="X19" s="1326"/>
      <c r="Y19" s="1327" t="s">
        <v>24</v>
      </c>
      <c r="Z19" s="1290"/>
      <c r="AA19" s="1290"/>
      <c r="AB19" s="1290"/>
      <c r="AC19" s="1336"/>
      <c r="AD19" s="1307"/>
      <c r="AE19" s="1307"/>
      <c r="AF19" s="1307"/>
      <c r="AG19" s="1280"/>
      <c r="AH19" s="1320"/>
      <c r="AI19" s="1324"/>
      <c r="AJ19" s="1324"/>
      <c r="AK19" s="1348"/>
      <c r="AL19" s="1348"/>
      <c r="AM19" s="1348"/>
      <c r="AN19" s="1348"/>
      <c r="AO19" s="1348"/>
      <c r="AP19" s="1348"/>
      <c r="AQ19" s="1348"/>
      <c r="AR19" s="1348"/>
      <c r="AS19" s="1348"/>
      <c r="AT19" s="1280"/>
      <c r="AU19" s="1280"/>
      <c r="AV19" s="1284"/>
      <c r="AW19" s="1280"/>
      <c r="AX19" s="1280"/>
      <c r="AY19" s="1350" t="s">
        <v>47</v>
      </c>
      <c r="AZ19" s="1335"/>
      <c r="BA19" s="1342" t="s">
        <v>1398</v>
      </c>
      <c r="BB19" s="1280"/>
      <c r="BC19" s="1280"/>
      <c r="BD19" s="1284"/>
    </row>
    <row r="20" ht="2.25" customHeight="1">
      <c r="A20" s="1280"/>
      <c r="B20" s="1280"/>
      <c r="C20" s="1307"/>
      <c r="D20" s="1307"/>
      <c r="E20" s="1332"/>
      <c r="F20" s="1290"/>
      <c r="G20" s="1290"/>
      <c r="H20" s="1290"/>
      <c r="I20" s="1290"/>
      <c r="J20" s="1290"/>
      <c r="K20" s="1290"/>
      <c r="L20" s="1290"/>
      <c r="M20" s="1290"/>
      <c r="N20" s="1290"/>
      <c r="O20" s="1290"/>
      <c r="P20" s="1290"/>
      <c r="Q20" s="1290"/>
      <c r="R20" s="1290"/>
      <c r="S20" s="1290"/>
      <c r="T20" s="1290"/>
      <c r="U20" s="1290"/>
      <c r="V20" s="1290"/>
      <c r="W20" s="1290"/>
      <c r="X20" s="1290"/>
      <c r="Y20" s="1290"/>
      <c r="Z20" s="1290"/>
      <c r="AA20" s="1290"/>
      <c r="AB20" s="1290"/>
      <c r="AC20" s="1332"/>
      <c r="AD20" s="1307"/>
      <c r="AE20" s="1307"/>
      <c r="AF20" s="1307"/>
      <c r="AG20" s="1280"/>
      <c r="AH20" s="1320"/>
      <c r="AI20" s="1324"/>
      <c r="AJ20" s="1324"/>
      <c r="AK20" s="1348"/>
      <c r="AL20" s="1348"/>
      <c r="AM20" s="1348"/>
      <c r="AN20" s="1348"/>
      <c r="AO20" s="1351"/>
      <c r="AP20" s="1348"/>
      <c r="AQ20" s="1348"/>
      <c r="AR20" s="1348"/>
      <c r="AS20" s="1348"/>
      <c r="AT20" s="1280"/>
      <c r="AU20" s="1280"/>
      <c r="AV20" s="1284"/>
      <c r="AW20" s="1280"/>
      <c r="AX20" s="1280"/>
      <c r="AY20" s="1280"/>
      <c r="AZ20" s="1280"/>
      <c r="BA20" s="1280"/>
      <c r="BB20" s="1280"/>
      <c r="BC20" s="1280"/>
      <c r="BD20" s="1284"/>
    </row>
    <row r="21" ht="28.5" customHeight="1">
      <c r="A21" s="1280"/>
      <c r="B21" s="1280"/>
      <c r="C21" s="1307"/>
      <c r="D21" s="1307"/>
      <c r="E21" s="1293" t="s">
        <v>47</v>
      </c>
      <c r="F21" s="1290"/>
      <c r="G21" s="1290"/>
      <c r="H21" s="1290"/>
      <c r="I21" s="1336"/>
      <c r="J21" s="1290"/>
      <c r="K21" s="1290"/>
      <c r="L21" s="1290"/>
      <c r="M21" s="1290"/>
      <c r="N21" s="1290"/>
      <c r="O21" s="1336"/>
      <c r="P21" s="1290"/>
      <c r="Q21" s="1336"/>
      <c r="R21" s="1290"/>
      <c r="S21" s="1336"/>
      <c r="T21" s="1290"/>
      <c r="U21" s="1290"/>
      <c r="V21" s="1290"/>
      <c r="W21" s="1290"/>
      <c r="X21" s="1290"/>
      <c r="Y21" s="1336"/>
      <c r="Z21" s="1290"/>
      <c r="AA21" s="1290"/>
      <c r="AB21" s="1326"/>
      <c r="AC21" s="1327" t="s">
        <v>24</v>
      </c>
      <c r="AD21" s="1307"/>
      <c r="AE21" s="1307"/>
      <c r="AF21" s="1307"/>
      <c r="AG21" s="1280"/>
      <c r="AH21" s="1320"/>
      <c r="AI21" s="1324"/>
      <c r="AJ21" s="1348"/>
      <c r="AK21" s="1348"/>
      <c r="AL21" s="1348"/>
      <c r="AM21" s="1348"/>
      <c r="AN21" s="1352"/>
      <c r="AO21" s="1353"/>
      <c r="AP21" s="1348"/>
      <c r="AQ21" s="1348"/>
      <c r="AR21" s="1348"/>
      <c r="AS21" s="1348"/>
      <c r="AT21" s="1280"/>
      <c r="AU21" s="1280"/>
      <c r="AV21" s="1284"/>
      <c r="AW21" s="1335"/>
      <c r="AX21" s="1335"/>
      <c r="AY21" s="1335"/>
      <c r="AZ21" s="1335"/>
      <c r="BA21" s="1335"/>
      <c r="BB21" s="1335"/>
      <c r="BC21" s="1335"/>
      <c r="BD21" s="1284"/>
    </row>
    <row r="22" ht="2.25" customHeight="1">
      <c r="A22" s="1280"/>
      <c r="B22" s="1280"/>
      <c r="C22" s="1307"/>
      <c r="D22" s="1307"/>
      <c r="E22" s="1290"/>
      <c r="F22" s="1290"/>
      <c r="G22" s="1290"/>
      <c r="H22" s="1290"/>
      <c r="I22" s="1332"/>
      <c r="J22" s="1290"/>
      <c r="K22" s="1290"/>
      <c r="L22" s="1290"/>
      <c r="M22" s="1354"/>
      <c r="N22" s="1290"/>
      <c r="O22" s="1290"/>
      <c r="P22" s="1290"/>
      <c r="Q22" s="1290"/>
      <c r="R22" s="1290"/>
      <c r="S22" s="1290"/>
      <c r="T22" s="1354"/>
      <c r="U22" s="1290"/>
      <c r="V22" s="1290"/>
      <c r="W22" s="1290"/>
      <c r="X22" s="1290"/>
      <c r="Y22" s="1332"/>
      <c r="Z22" s="1290"/>
      <c r="AA22" s="1290"/>
      <c r="AB22" s="1290"/>
      <c r="AC22" s="1290"/>
      <c r="AD22" s="1307"/>
      <c r="AE22" s="1307"/>
      <c r="AF22" s="1307"/>
      <c r="AG22" s="1280"/>
      <c r="AH22" s="1320"/>
      <c r="AI22" s="1324"/>
      <c r="AJ22" s="1324"/>
      <c r="AK22" s="1348"/>
      <c r="AL22" s="1348"/>
      <c r="AM22" s="1348"/>
      <c r="AN22" s="1352"/>
      <c r="AO22" s="1353"/>
      <c r="AP22" s="1348"/>
      <c r="AQ22" s="1348"/>
      <c r="AR22" s="1348"/>
      <c r="AS22" s="1348"/>
      <c r="AT22" s="1280"/>
      <c r="AU22" s="1280"/>
      <c r="AV22" s="1284"/>
      <c r="AW22" s="1280"/>
      <c r="AX22" s="1280"/>
      <c r="AY22" s="1335"/>
      <c r="AZ22" s="1335"/>
      <c r="BA22" s="1355"/>
      <c r="BB22" s="1335"/>
      <c r="BC22" s="1280"/>
      <c r="BD22" s="1284"/>
    </row>
    <row r="23" ht="28.5" customHeight="1">
      <c r="A23" s="1280"/>
      <c r="B23" s="1280"/>
      <c r="C23" s="1307"/>
      <c r="D23" s="1307"/>
      <c r="E23" s="1336"/>
      <c r="F23" s="1290"/>
      <c r="G23" s="1290"/>
      <c r="H23" s="1326"/>
      <c r="I23" s="1310" t="s">
        <v>53</v>
      </c>
      <c r="J23" s="1290"/>
      <c r="K23" s="1290"/>
      <c r="L23" s="1290"/>
      <c r="M23" s="1354"/>
      <c r="N23" s="1290"/>
      <c r="O23" s="1290"/>
      <c r="P23" s="1290"/>
      <c r="Q23" s="1336"/>
      <c r="R23" s="1290"/>
      <c r="S23" s="1290"/>
      <c r="T23" s="1354"/>
      <c r="U23" s="1290"/>
      <c r="V23" s="1290"/>
      <c r="W23" s="1290"/>
      <c r="X23" s="1326"/>
      <c r="Y23" s="1327" t="s">
        <v>24</v>
      </c>
      <c r="Z23" s="1290"/>
      <c r="AA23" s="1290"/>
      <c r="AB23" s="1290"/>
      <c r="AC23" s="1336"/>
      <c r="AD23" s="1307"/>
      <c r="AE23" s="1307"/>
      <c r="AF23" s="1307"/>
      <c r="AG23" s="1280"/>
      <c r="AH23" s="1320"/>
      <c r="AI23" s="1324"/>
      <c r="AJ23" s="1324"/>
      <c r="AK23" s="1356" t="s">
        <v>31</v>
      </c>
      <c r="AL23" s="1348"/>
      <c r="AM23" s="1357"/>
      <c r="AN23" s="1352"/>
      <c r="AO23" s="1353"/>
      <c r="AP23" s="1348"/>
      <c r="AQ23" s="1348"/>
      <c r="AR23" s="1348"/>
      <c r="AS23" s="34" t="s">
        <v>15</v>
      </c>
      <c r="AT23" s="1280"/>
      <c r="AU23" s="1280"/>
      <c r="AV23" s="1284"/>
      <c r="AW23" s="1331" t="s">
        <v>1399</v>
      </c>
      <c r="BD23" s="1284"/>
    </row>
    <row r="24" ht="2.25" customHeight="1">
      <c r="A24" s="1280"/>
      <c r="B24" s="1280"/>
      <c r="C24" s="1307"/>
      <c r="D24" s="1307"/>
      <c r="E24" s="1332"/>
      <c r="F24" s="1290"/>
      <c r="G24" s="1290"/>
      <c r="H24" s="1290"/>
      <c r="I24" s="1290"/>
      <c r="J24" s="1290"/>
      <c r="K24" s="1290"/>
      <c r="L24" s="1290"/>
      <c r="M24" s="1354"/>
      <c r="N24" s="1358"/>
      <c r="O24" s="1358"/>
      <c r="P24" s="1358"/>
      <c r="Q24" s="1359"/>
      <c r="R24" s="1358"/>
      <c r="S24" s="1358"/>
      <c r="T24" s="1360"/>
      <c r="U24" s="1290"/>
      <c r="V24" s="1290"/>
      <c r="W24" s="1290"/>
      <c r="X24" s="1290"/>
      <c r="Y24" s="1290"/>
      <c r="Z24" s="1290"/>
      <c r="AA24" s="1290"/>
      <c r="AB24" s="1290"/>
      <c r="AC24" s="1332"/>
      <c r="AD24" s="1307"/>
      <c r="AE24" s="1307"/>
      <c r="AF24" s="1307"/>
      <c r="AG24" s="1280"/>
      <c r="AH24" s="1320"/>
      <c r="AI24" s="1324"/>
      <c r="AJ24" s="1324"/>
      <c r="AK24" s="1348"/>
      <c r="AL24" s="1348"/>
      <c r="AM24" s="1348"/>
      <c r="AN24" s="1348"/>
      <c r="AO24" s="1353"/>
      <c r="AP24" s="1348"/>
      <c r="AQ24" s="1348"/>
      <c r="AR24" s="1348"/>
      <c r="AS24" s="1348"/>
      <c r="AT24" s="1280"/>
      <c r="AU24" s="1280"/>
      <c r="AV24" s="1284"/>
      <c r="AW24" s="1280"/>
      <c r="AX24" s="1280"/>
      <c r="AY24" s="1342"/>
      <c r="AZ24" s="1335"/>
      <c r="BA24" s="1355"/>
      <c r="BB24" s="1335"/>
      <c r="BC24" s="1280"/>
      <c r="BD24" s="1284"/>
    </row>
    <row r="25" ht="28.5" customHeight="1">
      <c r="A25" s="1280"/>
      <c r="B25" s="1280"/>
      <c r="C25" s="1307"/>
      <c r="D25" s="1307"/>
      <c r="E25" s="1293" t="s">
        <v>47</v>
      </c>
      <c r="F25" s="1290"/>
      <c r="G25" s="1290"/>
      <c r="H25" s="1290"/>
      <c r="I25" s="1336"/>
      <c r="J25" s="1290"/>
      <c r="K25" s="1290"/>
      <c r="L25" s="1290"/>
      <c r="M25" s="1290"/>
      <c r="N25" s="1290"/>
      <c r="O25" s="1290"/>
      <c r="P25" s="1290"/>
      <c r="Q25" s="1336"/>
      <c r="R25" s="1290"/>
      <c r="S25" s="1290"/>
      <c r="T25" s="1290"/>
      <c r="U25" s="1290"/>
      <c r="V25" s="1290"/>
      <c r="W25" s="1290"/>
      <c r="X25" s="1290"/>
      <c r="Y25" s="1336"/>
      <c r="Z25" s="1290"/>
      <c r="AA25" s="1290"/>
      <c r="AB25" s="1326"/>
      <c r="AC25" s="1356" t="s">
        <v>31</v>
      </c>
      <c r="AD25" s="1307"/>
      <c r="AE25" s="1307"/>
      <c r="AF25" s="1307"/>
      <c r="AG25" s="1280"/>
      <c r="AH25" s="1320"/>
      <c r="AI25" s="1348"/>
      <c r="AJ25" s="1348"/>
      <c r="AK25" s="1294" t="s">
        <v>36</v>
      </c>
      <c r="AL25" s="1348"/>
      <c r="AM25" s="1348"/>
      <c r="AN25" s="1348"/>
      <c r="AO25" s="1353"/>
      <c r="AP25" s="1348"/>
      <c r="AQ25" s="1348"/>
      <c r="AR25" s="1348"/>
      <c r="AS25" s="1327" t="s">
        <v>24</v>
      </c>
      <c r="AT25" s="1280"/>
      <c r="AU25" s="1280"/>
      <c r="AV25" s="1284"/>
      <c r="AW25" s="1280"/>
      <c r="AX25" s="1280"/>
      <c r="AY25" s="1327" t="s">
        <v>24</v>
      </c>
      <c r="AZ25" s="1335"/>
      <c r="BA25" s="1342" t="s">
        <v>1372</v>
      </c>
      <c r="BB25" s="1335"/>
      <c r="BC25" s="1280"/>
      <c r="BD25" s="1284"/>
    </row>
    <row r="26" ht="2.25" customHeight="1">
      <c r="A26" s="1280"/>
      <c r="B26" s="1280"/>
      <c r="C26" s="1307"/>
      <c r="D26" s="1307"/>
      <c r="E26" s="1290"/>
      <c r="F26" s="1290"/>
      <c r="G26" s="1290"/>
      <c r="H26" s="1290"/>
      <c r="I26" s="1332"/>
      <c r="J26" s="1290"/>
      <c r="K26" s="1290"/>
      <c r="L26" s="1290"/>
      <c r="M26" s="1290"/>
      <c r="N26" s="1290"/>
      <c r="O26" s="1290"/>
      <c r="P26" s="1290"/>
      <c r="Q26" s="1290"/>
      <c r="R26" s="1290"/>
      <c r="S26" s="1290"/>
      <c r="T26" s="1290"/>
      <c r="U26" s="1290"/>
      <c r="V26" s="1290"/>
      <c r="W26" s="1290"/>
      <c r="X26" s="1290"/>
      <c r="Y26" s="1332"/>
      <c r="Z26" s="1290"/>
      <c r="AA26" s="1290"/>
      <c r="AB26" s="1290"/>
      <c r="AC26" s="1290"/>
      <c r="AD26" s="1307"/>
      <c r="AE26" s="1307"/>
      <c r="AF26" s="1307"/>
      <c r="AG26" s="1280"/>
      <c r="AH26" s="1320"/>
      <c r="AI26" s="1324"/>
      <c r="AJ26" s="1324"/>
      <c r="AK26" s="1348"/>
      <c r="AL26" s="1348"/>
      <c r="AM26" s="1348"/>
      <c r="AN26" s="1348"/>
      <c r="AO26" s="1353"/>
      <c r="AP26" s="1348"/>
      <c r="AQ26" s="1348"/>
      <c r="AR26" s="1348"/>
      <c r="AS26" s="1348"/>
      <c r="AT26" s="1280"/>
      <c r="AU26" s="1280"/>
      <c r="AV26" s="1284"/>
      <c r="AW26" s="1280"/>
      <c r="AX26" s="1280"/>
      <c r="AY26" s="1348"/>
      <c r="AZ26" s="1335"/>
      <c r="BA26" s="1355"/>
      <c r="BB26" s="1335"/>
      <c r="BC26" s="1280"/>
      <c r="BD26" s="1284"/>
    </row>
    <row r="27" ht="28.5" customHeight="1">
      <c r="A27" s="1280"/>
      <c r="B27" s="1280"/>
      <c r="C27" s="1307"/>
      <c r="D27" s="1307"/>
      <c r="E27" s="1336"/>
      <c r="F27" s="1290"/>
      <c r="G27" s="1290"/>
      <c r="H27" s="1326"/>
      <c r="I27" s="34" t="s">
        <v>15</v>
      </c>
      <c r="J27" s="1290"/>
      <c r="K27" s="1290"/>
      <c r="L27" s="1290"/>
      <c r="M27" s="1290"/>
      <c r="N27" s="1290"/>
      <c r="O27" s="1290"/>
      <c r="P27" s="1290"/>
      <c r="Q27" s="1361"/>
      <c r="R27" s="1361"/>
      <c r="S27" s="1361"/>
      <c r="T27" s="1361"/>
      <c r="U27" s="1361"/>
      <c r="V27" s="1361"/>
      <c r="W27" s="1361"/>
      <c r="X27" s="1362"/>
      <c r="Y27" s="1356" t="s">
        <v>31</v>
      </c>
      <c r="Z27" s="1361"/>
      <c r="AA27" s="1361"/>
      <c r="AB27" s="1290"/>
      <c r="AC27" s="1336"/>
      <c r="AD27" s="1307"/>
      <c r="AE27" s="1307"/>
      <c r="AF27" s="1307"/>
      <c r="AG27" s="1280"/>
      <c r="AH27" s="1320"/>
      <c r="AI27" s="1324"/>
      <c r="AJ27" s="1324"/>
      <c r="AK27" s="1348"/>
      <c r="AL27" s="1348"/>
      <c r="AM27" s="1348"/>
      <c r="AN27" s="1348"/>
      <c r="AO27" s="1363"/>
      <c r="AP27" s="1348"/>
      <c r="AQ27" s="1348"/>
      <c r="AR27" s="1348"/>
      <c r="AS27" s="1348"/>
      <c r="AT27" s="1324"/>
      <c r="AU27" s="1324"/>
      <c r="AV27" s="1284"/>
      <c r="AW27" s="1280"/>
      <c r="AX27" s="1280"/>
      <c r="AY27" s="1356" t="s">
        <v>31</v>
      </c>
      <c r="AZ27" s="1335"/>
      <c r="BA27" s="1342" t="s">
        <v>1371</v>
      </c>
      <c r="BB27" s="1335"/>
      <c r="BC27" s="1280"/>
      <c r="BD27" s="1284"/>
    </row>
    <row r="28" ht="2.25" customHeight="1">
      <c r="A28" s="1280"/>
      <c r="B28" s="1280"/>
      <c r="C28" s="1307"/>
      <c r="D28" s="1307"/>
      <c r="E28" s="1290"/>
      <c r="F28" s="1290"/>
      <c r="G28" s="1290"/>
      <c r="H28" s="1290"/>
      <c r="I28" s="1290"/>
      <c r="J28" s="1290"/>
      <c r="K28" s="1290"/>
      <c r="L28" s="1290"/>
      <c r="M28" s="1332"/>
      <c r="N28" s="1290"/>
      <c r="O28" s="1290"/>
      <c r="P28" s="1290"/>
      <c r="Q28" s="1364"/>
      <c r="R28" s="1361"/>
      <c r="S28" s="1361"/>
      <c r="T28" s="1361"/>
      <c r="U28" s="1364"/>
      <c r="V28" s="1361"/>
      <c r="W28" s="1361"/>
      <c r="X28" s="1361"/>
      <c r="Y28" s="1361"/>
      <c r="Z28" s="1361"/>
      <c r="AA28" s="1361"/>
      <c r="AB28" s="1290"/>
      <c r="AC28" s="1290"/>
      <c r="AD28" s="1307"/>
      <c r="AE28" s="1307"/>
      <c r="AF28" s="1307"/>
      <c r="AG28" s="1280"/>
      <c r="AH28" s="1320"/>
      <c r="AI28" s="1324"/>
      <c r="AJ28" s="1324"/>
      <c r="AK28" s="1324"/>
      <c r="AL28" s="1324"/>
      <c r="AM28" s="1324"/>
      <c r="AN28" s="1324"/>
      <c r="AO28" s="1324"/>
      <c r="AP28" s="1324"/>
      <c r="AQ28" s="1324"/>
      <c r="AR28" s="1324"/>
      <c r="AS28" s="1324"/>
      <c r="AT28" s="1324"/>
      <c r="AU28" s="1324"/>
      <c r="AV28" s="1284"/>
      <c r="AW28" s="1280"/>
      <c r="AX28" s="1280"/>
      <c r="AY28" s="1348"/>
      <c r="AZ28" s="1335"/>
      <c r="BA28" s="1355"/>
      <c r="BB28" s="1335"/>
      <c r="BC28" s="1280"/>
      <c r="BD28" s="1284"/>
    </row>
    <row r="29" ht="28.5" customHeight="1">
      <c r="A29" s="1280"/>
      <c r="B29" s="1280"/>
      <c r="C29" s="1307"/>
      <c r="D29" s="1307"/>
      <c r="E29" s="1290"/>
      <c r="F29" s="1290"/>
      <c r="G29" s="1290"/>
      <c r="H29" s="1290"/>
      <c r="I29" s="1336"/>
      <c r="J29" s="1290"/>
      <c r="K29" s="1290"/>
      <c r="L29" s="1326"/>
      <c r="M29" s="34" t="s">
        <v>15</v>
      </c>
      <c r="N29" s="1290"/>
      <c r="O29" s="1290"/>
      <c r="P29" s="1326"/>
      <c r="Q29" s="34" t="s">
        <v>15</v>
      </c>
      <c r="R29" s="1361"/>
      <c r="S29" s="1361"/>
      <c r="T29" s="1362"/>
      <c r="U29" s="1356" t="s">
        <v>31</v>
      </c>
      <c r="V29" s="1361"/>
      <c r="W29" s="1361"/>
      <c r="X29" s="1361"/>
      <c r="Y29" s="1365"/>
      <c r="Z29" s="1361"/>
      <c r="AA29" s="1361"/>
      <c r="AB29" s="1290"/>
      <c r="AC29" s="1290"/>
      <c r="AD29" s="1307"/>
      <c r="AE29" s="1307"/>
      <c r="AF29" s="1307"/>
      <c r="AG29" s="1280"/>
      <c r="AH29" s="1320"/>
      <c r="AI29" s="1324"/>
      <c r="AJ29" s="1324"/>
      <c r="AK29" s="1324"/>
      <c r="AL29" s="1324"/>
      <c r="AM29" s="1324"/>
      <c r="AN29" s="1324"/>
      <c r="AO29" s="1324"/>
      <c r="AP29" s="1324"/>
      <c r="AQ29" s="1324"/>
      <c r="AR29" s="1324"/>
      <c r="AS29" s="1324"/>
      <c r="AT29" s="1324"/>
      <c r="AU29" s="1324"/>
      <c r="AV29" s="1284"/>
      <c r="AW29" s="1280"/>
      <c r="AX29" s="1366"/>
      <c r="AY29" s="1310" t="s">
        <v>53</v>
      </c>
      <c r="AZ29" s="1367"/>
      <c r="BA29" s="1342" t="s">
        <v>1400</v>
      </c>
      <c r="BB29" s="1335"/>
      <c r="BC29" s="1280"/>
      <c r="BD29" s="1284"/>
    </row>
    <row r="30" ht="2.25" customHeight="1">
      <c r="A30" s="1280"/>
      <c r="B30" s="1280"/>
      <c r="C30" s="1307"/>
      <c r="D30" s="1307"/>
      <c r="E30" s="1290"/>
      <c r="F30" s="1290"/>
      <c r="G30" s="1332"/>
      <c r="H30" s="1290"/>
      <c r="I30" s="1290"/>
      <c r="J30" s="1290"/>
      <c r="K30" s="1290"/>
      <c r="L30" s="1290"/>
      <c r="M30" s="1290"/>
      <c r="N30" s="1290"/>
      <c r="O30" s="1290"/>
      <c r="P30" s="1290"/>
      <c r="Q30" s="1361"/>
      <c r="R30" s="1361"/>
      <c r="S30" s="1361"/>
      <c r="T30" s="1361"/>
      <c r="U30" s="1361"/>
      <c r="V30" s="1361"/>
      <c r="W30" s="1361"/>
      <c r="X30" s="1361"/>
      <c r="Y30" s="1361"/>
      <c r="Z30" s="1361"/>
      <c r="AA30" s="1364"/>
      <c r="AB30" s="1290"/>
      <c r="AC30" s="1290"/>
      <c r="AD30" s="1307"/>
      <c r="AE30" s="1307"/>
      <c r="AF30" s="1307"/>
      <c r="AG30" s="1280"/>
      <c r="AH30" s="1320"/>
      <c r="AI30" s="1324"/>
      <c r="AJ30" s="1324"/>
      <c r="AK30" s="1324"/>
      <c r="AL30" s="1324"/>
      <c r="AM30" s="1324"/>
      <c r="AN30" s="1324"/>
      <c r="AO30" s="1324"/>
      <c r="AP30" s="1324"/>
      <c r="AQ30" s="1324"/>
      <c r="AR30" s="1324"/>
      <c r="AS30" s="1324"/>
      <c r="AT30" s="1280"/>
      <c r="AU30" s="1324"/>
      <c r="AV30" s="1284"/>
      <c r="AW30" s="1366"/>
      <c r="AX30" s="1366"/>
      <c r="AY30" s="1348"/>
      <c r="AZ30" s="1367"/>
      <c r="BA30" s="1368"/>
      <c r="BB30" s="1367"/>
      <c r="BC30" s="1366"/>
      <c r="BD30" s="1284"/>
    </row>
    <row r="31" ht="28.5" customHeight="1">
      <c r="A31" s="1280"/>
      <c r="B31" s="1280"/>
      <c r="C31" s="1307"/>
      <c r="D31" s="1307"/>
      <c r="E31" s="1290"/>
      <c r="F31" s="1326"/>
      <c r="G31" s="34" t="s">
        <v>15</v>
      </c>
      <c r="H31" s="1290"/>
      <c r="I31" s="1290"/>
      <c r="J31" s="1290"/>
      <c r="K31" s="1290"/>
      <c r="L31" s="1290"/>
      <c r="M31" s="1336"/>
      <c r="N31" s="1290"/>
      <c r="O31" s="1290"/>
      <c r="P31" s="1290"/>
      <c r="Q31" s="1365"/>
      <c r="R31" s="1361"/>
      <c r="S31" s="1361"/>
      <c r="T31" s="1361"/>
      <c r="U31" s="1365"/>
      <c r="V31" s="1361"/>
      <c r="W31" s="1361"/>
      <c r="X31" s="1361"/>
      <c r="Y31" s="1361"/>
      <c r="Z31" s="1362"/>
      <c r="AA31" s="1356" t="s">
        <v>31</v>
      </c>
      <c r="AB31" s="1290"/>
      <c r="AC31" s="1290"/>
      <c r="AD31" s="1307"/>
      <c r="AE31" s="1307"/>
      <c r="AF31" s="1307"/>
      <c r="AG31" s="1284"/>
      <c r="AH31" s="1320"/>
      <c r="AI31" s="1324"/>
      <c r="AJ31" s="1324"/>
      <c r="AK31" s="1369"/>
      <c r="AL31" s="1324"/>
      <c r="AM31" s="1319"/>
      <c r="AN31" s="1324"/>
      <c r="AO31" s="1369"/>
      <c r="AP31" s="1324"/>
      <c r="AQ31" s="1319"/>
      <c r="AR31" s="1324"/>
      <c r="AS31" s="1369"/>
      <c r="AT31" s="1280"/>
      <c r="AU31" s="1280"/>
      <c r="AV31" s="1370"/>
      <c r="AW31" s="1366"/>
      <c r="AX31" s="1366"/>
      <c r="AY31" s="1319"/>
      <c r="AZ31" s="1367"/>
      <c r="BA31" s="1342"/>
      <c r="BB31" s="1367"/>
      <c r="BC31" s="1366"/>
      <c r="BD31" s="1284"/>
    </row>
    <row r="32" ht="2.25" customHeight="1">
      <c r="A32" s="1307"/>
      <c r="B32" s="1280"/>
      <c r="C32" s="1307"/>
      <c r="D32" s="1307"/>
      <c r="E32" s="1290"/>
      <c r="F32" s="1290"/>
      <c r="G32" s="1290"/>
      <c r="H32" s="1290"/>
      <c r="I32" s="1290"/>
      <c r="J32" s="1290"/>
      <c r="K32" s="1332"/>
      <c r="L32" s="1290"/>
      <c r="M32" s="1290"/>
      <c r="N32" s="1290"/>
      <c r="O32" s="1332"/>
      <c r="P32" s="1290"/>
      <c r="Q32" s="1361"/>
      <c r="R32" s="1361"/>
      <c r="S32" s="1364"/>
      <c r="T32" s="1361"/>
      <c r="U32" s="1361"/>
      <c r="V32" s="1361"/>
      <c r="W32" s="1364"/>
      <c r="X32" s="1361"/>
      <c r="Y32" s="1361"/>
      <c r="Z32" s="1361"/>
      <c r="AA32" s="1361"/>
      <c r="AB32" s="1290"/>
      <c r="AC32" s="1290"/>
      <c r="AD32" s="1307"/>
      <c r="AE32" s="1307"/>
      <c r="AF32" s="1307"/>
      <c r="AG32" s="1284"/>
      <c r="AH32" s="1371"/>
      <c r="AI32" s="1324"/>
      <c r="AJ32" s="1324"/>
      <c r="AK32" s="1324"/>
      <c r="AL32" s="1324"/>
      <c r="AM32" s="1324"/>
      <c r="AN32" s="1324"/>
      <c r="AO32" s="1324"/>
      <c r="AP32" s="1324"/>
      <c r="AQ32" s="1324"/>
      <c r="AR32" s="1324"/>
      <c r="AS32" s="1324"/>
      <c r="AT32" s="1280"/>
      <c r="AU32" s="1280"/>
      <c r="AV32" s="1370"/>
      <c r="AW32" s="1335"/>
      <c r="AX32" s="1335"/>
      <c r="AY32" s="1335"/>
      <c r="AZ32" s="1335"/>
      <c r="BA32" s="1335"/>
      <c r="BB32" s="1335"/>
      <c r="BC32" s="1335"/>
      <c r="BD32" s="1284"/>
    </row>
    <row r="33" ht="28.5" customHeight="1">
      <c r="A33" s="1307"/>
      <c r="B33" s="1280"/>
      <c r="C33" s="1307"/>
      <c r="D33" s="1307"/>
      <c r="E33" s="1290"/>
      <c r="F33" s="1290"/>
      <c r="G33" s="1336"/>
      <c r="H33" s="1290"/>
      <c r="I33" s="1290"/>
      <c r="J33" s="1326"/>
      <c r="K33" s="34" t="s">
        <v>15</v>
      </c>
      <c r="L33" s="1290"/>
      <c r="M33" s="1290"/>
      <c r="N33" s="1326"/>
      <c r="O33" s="34" t="s">
        <v>15</v>
      </c>
      <c r="P33" s="1290"/>
      <c r="Q33" s="1361"/>
      <c r="R33" s="1362"/>
      <c r="S33" s="34" t="s">
        <v>15</v>
      </c>
      <c r="T33" s="1361"/>
      <c r="U33" s="1361"/>
      <c r="V33" s="1362"/>
      <c r="W33" s="1356" t="s">
        <v>31</v>
      </c>
      <c r="X33" s="1361"/>
      <c r="Y33" s="1361"/>
      <c r="Z33" s="1361"/>
      <c r="AA33" s="1365"/>
      <c r="AB33" s="1290"/>
      <c r="AC33" s="1290"/>
      <c r="AD33" s="1307"/>
      <c r="AE33" s="1307"/>
      <c r="AF33" s="1307"/>
      <c r="AG33" s="1284"/>
      <c r="AH33" s="1371"/>
      <c r="AI33" s="1324"/>
      <c r="AJ33" s="1280"/>
      <c r="AK33" s="1311"/>
      <c r="AT33" s="1280"/>
      <c r="AU33" s="1280"/>
      <c r="AV33" s="1370"/>
      <c r="AW33" s="1335"/>
      <c r="AX33" s="1335"/>
      <c r="AY33" s="1335"/>
      <c r="AZ33" s="1335"/>
      <c r="BA33" s="1335"/>
      <c r="BB33" s="1335"/>
      <c r="BC33" s="1335"/>
      <c r="BD33" s="1284"/>
    </row>
    <row r="34" ht="2.25" customHeight="1">
      <c r="A34" s="1372"/>
      <c r="B34" s="1280"/>
      <c r="C34" s="1372"/>
      <c r="D34" s="1372"/>
      <c r="E34" s="1372"/>
      <c r="F34" s="1372"/>
      <c r="G34" s="1280"/>
      <c r="H34" s="1280"/>
      <c r="I34" s="1280"/>
      <c r="J34" s="1280"/>
      <c r="K34" s="1280"/>
      <c r="L34" s="1280"/>
      <c r="M34" s="1280"/>
      <c r="N34" s="1280"/>
      <c r="O34" s="1280"/>
      <c r="P34" s="1280"/>
      <c r="Q34" s="1280"/>
      <c r="R34" s="1280"/>
      <c r="S34" s="1280"/>
      <c r="T34" s="1280"/>
      <c r="U34" s="1280"/>
      <c r="V34" s="1280"/>
      <c r="W34" s="1280"/>
      <c r="X34" s="1280"/>
      <c r="Y34" s="1280"/>
      <c r="Z34" s="1280"/>
      <c r="AA34" s="1280"/>
      <c r="AB34" s="1372"/>
      <c r="AC34" s="1372"/>
      <c r="AD34" s="1372"/>
      <c r="AE34" s="1372"/>
      <c r="AF34" s="1372"/>
      <c r="AG34" s="1284"/>
      <c r="AH34" s="1371"/>
      <c r="AI34" s="1324"/>
      <c r="AJ34" s="1324"/>
      <c r="AK34" s="1324"/>
      <c r="AL34" s="1324"/>
      <c r="AM34" s="1324"/>
      <c r="AN34" s="1324"/>
      <c r="AO34" s="1324"/>
      <c r="AP34" s="1324"/>
      <c r="AQ34" s="1324"/>
      <c r="AR34" s="1324"/>
      <c r="AS34" s="1324"/>
      <c r="AT34" s="1324"/>
      <c r="AU34" s="1280"/>
      <c r="AV34" s="1370"/>
      <c r="AW34" s="1366"/>
      <c r="AX34" s="1366"/>
      <c r="AY34" s="1367"/>
      <c r="AZ34" s="1367"/>
      <c r="BA34" s="1367"/>
      <c r="BB34" s="1367"/>
      <c r="BC34" s="1366"/>
      <c r="BD34" s="1284"/>
    </row>
    <row r="35" ht="28.5" customHeight="1">
      <c r="A35" s="1372"/>
      <c r="B35" s="1280"/>
      <c r="C35" s="1372"/>
      <c r="D35" s="1372"/>
      <c r="E35" s="1372"/>
      <c r="F35" s="1372"/>
      <c r="G35" s="1280"/>
      <c r="H35" s="1280"/>
      <c r="I35" s="1280"/>
      <c r="J35" s="1280"/>
      <c r="K35" s="1280"/>
      <c r="L35" s="1280"/>
      <c r="M35" s="1280"/>
      <c r="N35" s="1280"/>
      <c r="O35" s="1280"/>
      <c r="P35" s="1280"/>
      <c r="Q35" s="1280"/>
      <c r="R35" s="1280"/>
      <c r="S35" s="1280"/>
      <c r="T35" s="1280"/>
      <c r="U35" s="1280"/>
      <c r="V35" s="1280"/>
      <c r="W35" s="1280"/>
      <c r="X35" s="1280"/>
      <c r="Y35" s="1280"/>
      <c r="Z35" s="1280"/>
      <c r="AA35" s="1280"/>
      <c r="AB35" s="1372"/>
      <c r="AC35" s="1372"/>
      <c r="AD35" s="1372"/>
      <c r="AE35" s="1372"/>
      <c r="AF35" s="1372"/>
      <c r="AG35" s="1284"/>
      <c r="AH35" s="1371"/>
      <c r="AI35" s="1280"/>
      <c r="AJ35" s="1280"/>
      <c r="AK35" s="1280"/>
      <c r="AL35" s="1280"/>
      <c r="AM35" s="1324"/>
      <c r="AN35" s="1280"/>
      <c r="AO35" s="1324"/>
      <c r="AP35" s="1280"/>
      <c r="AQ35" s="1280"/>
      <c r="AR35" s="1280"/>
      <c r="AS35" s="1280"/>
      <c r="AT35" s="1280"/>
      <c r="AU35" s="1280"/>
      <c r="AV35" s="1370"/>
      <c r="AW35" s="1366"/>
      <c r="AX35" s="1366"/>
      <c r="AY35" s="1335"/>
      <c r="AZ35" s="1335"/>
      <c r="BA35" s="1335"/>
      <c r="BB35" s="1367"/>
      <c r="BC35" s="1366"/>
      <c r="BD35" s="1284"/>
    </row>
    <row r="36" ht="6.0" customHeight="1">
      <c r="A36" s="1280"/>
      <c r="B36" s="1280"/>
      <c r="C36" s="1280"/>
      <c r="D36" s="1280"/>
      <c r="E36" s="1280"/>
      <c r="F36" s="1280"/>
      <c r="G36" s="1280"/>
      <c r="H36" s="1280"/>
      <c r="I36" s="1280"/>
      <c r="J36" s="1280"/>
      <c r="K36" s="1280"/>
      <c r="L36" s="1280"/>
      <c r="M36" s="1280"/>
      <c r="N36" s="1280"/>
      <c r="O36" s="1280"/>
      <c r="P36" s="1280"/>
      <c r="Q36" s="1280"/>
      <c r="R36" s="1280"/>
      <c r="S36" s="1280"/>
      <c r="T36" s="1280"/>
      <c r="U36" s="1280"/>
      <c r="V36" s="1280"/>
      <c r="W36" s="1280"/>
      <c r="X36" s="1280"/>
      <c r="Y36" s="1280"/>
      <c r="Z36" s="1280"/>
      <c r="AA36" s="1280"/>
      <c r="AB36" s="1280"/>
      <c r="AC36" s="1280"/>
      <c r="AD36" s="1280"/>
      <c r="AE36" s="1280"/>
      <c r="AF36" s="1280"/>
      <c r="AG36" s="1284"/>
      <c r="AH36" s="1371"/>
      <c r="AI36" s="1371"/>
      <c r="AJ36" s="1371"/>
      <c r="AK36" s="1366"/>
      <c r="AL36" s="1366"/>
      <c r="AM36" s="1366"/>
      <c r="AN36" s="1366"/>
      <c r="AO36" s="1366"/>
      <c r="AP36" s="1366"/>
      <c r="AQ36" s="1366"/>
      <c r="AR36" s="1366"/>
      <c r="AS36" s="1366"/>
      <c r="AT36" s="1366"/>
      <c r="AU36" s="1366"/>
      <c r="AV36" s="1370"/>
      <c r="AW36" s="1373"/>
      <c r="AX36" s="1366"/>
      <c r="AY36" s="1366"/>
      <c r="AZ36" s="1280"/>
      <c r="BA36" s="1280"/>
      <c r="BB36" s="1280"/>
      <c r="BC36" s="1280"/>
      <c r="BD36" s="1284"/>
    </row>
    <row r="37" ht="3.0" customHeight="1">
      <c r="A37" s="1374"/>
      <c r="B37" s="1374"/>
      <c r="C37" s="1374"/>
      <c r="D37" s="1374"/>
      <c r="E37" s="1374"/>
      <c r="F37" s="1374"/>
      <c r="G37" s="1374"/>
      <c r="H37" s="1374"/>
      <c r="I37" s="1374"/>
      <c r="J37" s="1374"/>
      <c r="K37" s="1374"/>
      <c r="L37" s="1374"/>
      <c r="M37" s="1374"/>
      <c r="N37" s="1374"/>
      <c r="O37" s="1374"/>
      <c r="P37" s="1374"/>
      <c r="Q37" s="1374"/>
      <c r="R37" s="1374"/>
      <c r="S37" s="1374"/>
      <c r="T37" s="1374"/>
      <c r="U37" s="1374"/>
      <c r="V37" s="1374"/>
      <c r="W37" s="1374"/>
      <c r="X37" s="1374"/>
      <c r="Y37" s="1374"/>
      <c r="Z37" s="1374"/>
      <c r="AA37" s="1374"/>
      <c r="AB37" s="1374"/>
      <c r="AC37" s="1374"/>
      <c r="AD37" s="1374"/>
      <c r="AE37" s="1374"/>
      <c r="AF37" s="1374"/>
      <c r="AG37" s="1375"/>
      <c r="AH37" s="1376"/>
      <c r="AI37" s="1376"/>
      <c r="AJ37" s="1376"/>
      <c r="AK37" s="1377"/>
      <c r="AL37" s="1377"/>
      <c r="AM37" s="1377"/>
      <c r="AN37" s="1377"/>
      <c r="AO37" s="1377"/>
      <c r="AP37" s="1377"/>
      <c r="AQ37" s="1377"/>
      <c r="AR37" s="1377"/>
      <c r="AS37" s="1377"/>
      <c r="AT37" s="1377"/>
      <c r="AU37" s="1377"/>
      <c r="AV37" s="1378"/>
      <c r="AW37" s="1377"/>
      <c r="AX37" s="1377"/>
      <c r="AY37" s="1377"/>
      <c r="AZ37" s="1374"/>
      <c r="BA37" s="1374"/>
      <c r="BB37" s="1374"/>
      <c r="BC37" s="1374"/>
      <c r="BD37" s="1375"/>
    </row>
  </sheetData>
  <mergeCells count="10">
    <mergeCell ref="AW13:BC13"/>
    <mergeCell ref="AW23:BC23"/>
    <mergeCell ref="AK33:AS33"/>
    <mergeCell ref="AK1:BA6"/>
    <mergeCell ref="E3:M5"/>
    <mergeCell ref="AI7:BC9"/>
    <mergeCell ref="S9:AE9"/>
    <mergeCell ref="BC10:BD10"/>
    <mergeCell ref="AI11:AU11"/>
    <mergeCell ref="AW11:BC11"/>
  </mergeCells>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AA84F"/>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4.71"/>
    <col customWidth="1" min="2" max="2" width="65.43"/>
    <col customWidth="1" min="3" max="3" width="9.57"/>
    <col customWidth="1" min="4" max="23" width="7.29"/>
  </cols>
  <sheetData>
    <row r="1" ht="54.0" customHeight="1">
      <c r="A1" s="1379" t="s">
        <v>1401</v>
      </c>
      <c r="B1" s="1380" t="s">
        <v>1402</v>
      </c>
      <c r="C1" s="1381" t="s">
        <v>12</v>
      </c>
      <c r="D1" s="1382" t="s">
        <v>1403</v>
      </c>
      <c r="E1" s="16"/>
      <c r="F1" s="16"/>
      <c r="G1" s="16"/>
      <c r="H1" s="16"/>
      <c r="I1" s="16"/>
      <c r="J1" s="16"/>
      <c r="K1" s="16"/>
      <c r="L1" s="16"/>
      <c r="M1" s="16"/>
      <c r="N1" s="16"/>
      <c r="O1" s="16"/>
      <c r="P1" s="16"/>
      <c r="Q1" s="16"/>
      <c r="R1" s="16"/>
      <c r="S1" s="16"/>
      <c r="T1" s="16"/>
      <c r="U1" s="16"/>
      <c r="V1" s="16"/>
      <c r="W1" s="17"/>
    </row>
    <row r="2" ht="17.25" customHeight="1">
      <c r="A2" s="1383"/>
      <c r="B2" s="1383"/>
      <c r="C2" s="1383"/>
      <c r="D2" s="1383"/>
      <c r="E2" s="1383"/>
      <c r="F2" s="1383"/>
      <c r="G2" s="1383"/>
      <c r="H2" s="1383"/>
      <c r="I2" s="1383"/>
      <c r="J2" s="1383"/>
      <c r="K2" s="1383"/>
      <c r="L2" s="1383"/>
      <c r="M2" s="1383"/>
      <c r="N2" s="1383"/>
      <c r="O2" s="1383"/>
      <c r="P2" s="1383"/>
      <c r="Q2" s="1383"/>
      <c r="R2" s="1383"/>
      <c r="S2" s="1383"/>
      <c r="T2" s="1383"/>
      <c r="U2" s="1383"/>
      <c r="V2" s="1383"/>
      <c r="W2" s="1383"/>
    </row>
    <row r="3" ht="4.5" customHeight="1">
      <c r="A3" s="1384"/>
      <c r="B3" s="1384"/>
      <c r="C3" s="1385"/>
      <c r="D3" s="1384"/>
      <c r="E3" s="1384"/>
      <c r="F3" s="1384"/>
      <c r="G3" s="1384"/>
      <c r="H3" s="1384"/>
      <c r="I3" s="1384"/>
      <c r="J3" s="1384"/>
      <c r="K3" s="1384"/>
      <c r="L3" s="1386"/>
      <c r="M3" s="1386"/>
      <c r="N3" s="1386"/>
      <c r="O3" s="1386"/>
      <c r="P3" s="1386"/>
      <c r="Q3" s="1386"/>
      <c r="R3" s="1386"/>
      <c r="S3" s="1386"/>
      <c r="T3" s="1386"/>
      <c r="U3" s="1386"/>
      <c r="V3" s="1386"/>
      <c r="W3" s="1386"/>
    </row>
    <row r="4" ht="17.25" customHeight="1">
      <c r="A4" s="1387" t="s">
        <v>1404</v>
      </c>
      <c r="B4" s="1388" t="s">
        <v>1405</v>
      </c>
      <c r="D4" s="1389">
        <v>44044.0</v>
      </c>
      <c r="E4" s="124"/>
      <c r="F4" s="124"/>
      <c r="G4" s="20"/>
      <c r="H4" s="1389">
        <v>44075.0</v>
      </c>
      <c r="I4" s="124"/>
      <c r="J4" s="124"/>
      <c r="K4" s="20"/>
      <c r="L4" s="1386"/>
      <c r="M4" s="1386"/>
      <c r="N4" s="1386"/>
      <c r="O4" s="1386"/>
      <c r="P4" s="1386"/>
      <c r="Q4" s="1386"/>
      <c r="R4" s="1386"/>
      <c r="S4" s="1386"/>
      <c r="T4" s="1386"/>
      <c r="U4" s="1386"/>
      <c r="V4" s="1386"/>
      <c r="W4" s="1386"/>
    </row>
    <row r="5" ht="17.25" customHeight="1">
      <c r="B5" s="1390" t="s">
        <v>1406</v>
      </c>
      <c r="D5" s="43"/>
      <c r="G5" s="44"/>
      <c r="H5" s="43"/>
      <c r="K5" s="44"/>
      <c r="L5" s="1386"/>
      <c r="M5" s="1386"/>
      <c r="N5" s="1386"/>
      <c r="O5" s="1386"/>
      <c r="P5" s="1386"/>
      <c r="Q5" s="1386"/>
      <c r="R5" s="1386"/>
      <c r="S5" s="1386"/>
      <c r="T5" s="1386"/>
      <c r="U5" s="1386"/>
      <c r="V5" s="1386"/>
      <c r="W5" s="1386"/>
    </row>
    <row r="6" ht="4.5" customHeight="1">
      <c r="B6" s="1391"/>
      <c r="C6" s="1392"/>
      <c r="D6" s="26"/>
      <c r="E6" s="330"/>
      <c r="F6" s="330"/>
      <c r="G6" s="27"/>
      <c r="H6" s="26"/>
      <c r="I6" s="330"/>
      <c r="J6" s="330"/>
      <c r="K6" s="27"/>
      <c r="L6" s="1386"/>
      <c r="M6" s="1386"/>
      <c r="N6" s="1386"/>
      <c r="O6" s="1386"/>
      <c r="P6" s="1386"/>
      <c r="Q6" s="1386"/>
      <c r="R6" s="1386"/>
      <c r="S6" s="1386"/>
      <c r="T6" s="1386"/>
      <c r="U6" s="1386"/>
      <c r="V6" s="1386"/>
      <c r="W6" s="1386"/>
    </row>
    <row r="7" ht="17.25" customHeight="1">
      <c r="B7" s="1393" t="s">
        <v>1407</v>
      </c>
      <c r="C7" s="1394" t="s">
        <v>173</v>
      </c>
      <c r="D7" s="1386"/>
      <c r="E7" s="1386"/>
      <c r="F7" s="1395" t="s">
        <v>16</v>
      </c>
      <c r="G7" s="1396"/>
      <c r="H7" s="1396"/>
      <c r="I7" s="1396"/>
      <c r="J7" s="1397"/>
      <c r="K7" s="1386"/>
      <c r="L7" s="1386"/>
      <c r="M7" s="1386"/>
      <c r="N7" s="1386"/>
      <c r="O7" s="1386"/>
      <c r="P7" s="1386"/>
      <c r="Q7" s="1386"/>
      <c r="R7" s="1386"/>
      <c r="S7" s="1386"/>
      <c r="T7" s="1386"/>
      <c r="U7" s="1386"/>
      <c r="V7" s="1386"/>
      <c r="W7" s="1386"/>
    </row>
    <row r="8" ht="17.25" customHeight="1">
      <c r="B8" s="1398" t="s">
        <v>1408</v>
      </c>
      <c r="C8" s="1399"/>
      <c r="D8" s="1386"/>
      <c r="E8" s="1386"/>
      <c r="F8" s="1400" t="s">
        <v>101</v>
      </c>
      <c r="G8" s="1401"/>
      <c r="H8" s="1401"/>
      <c r="I8" s="1401"/>
      <c r="J8" s="1402"/>
      <c r="K8" s="1386"/>
      <c r="L8" s="1386"/>
      <c r="M8" s="1386"/>
      <c r="N8" s="1386"/>
      <c r="O8" s="1386"/>
      <c r="P8" s="1386"/>
      <c r="Q8" s="1386"/>
      <c r="R8" s="1386"/>
      <c r="S8" s="1386"/>
      <c r="T8" s="1386"/>
      <c r="U8" s="1386"/>
      <c r="V8" s="1386"/>
      <c r="W8" s="1386"/>
    </row>
    <row r="9" ht="17.25" customHeight="1">
      <c r="B9" s="1398" t="s">
        <v>1409</v>
      </c>
      <c r="C9" s="1399"/>
      <c r="D9" s="1403"/>
      <c r="E9" s="1403"/>
      <c r="F9" s="1404" t="s">
        <v>48</v>
      </c>
      <c r="G9" s="1401"/>
      <c r="H9" s="1401"/>
      <c r="I9" s="1401"/>
      <c r="J9" s="1402"/>
      <c r="K9" s="1386"/>
      <c r="L9" s="1386"/>
      <c r="M9" s="1386"/>
      <c r="N9" s="1386"/>
      <c r="O9" s="1386"/>
      <c r="P9" s="1386"/>
      <c r="Q9" s="1386"/>
      <c r="R9" s="1386"/>
      <c r="S9" s="1386"/>
      <c r="T9" s="1386"/>
      <c r="U9" s="1386"/>
      <c r="V9" s="1386"/>
      <c r="W9" s="1386"/>
    </row>
    <row r="10" ht="4.5" customHeight="1">
      <c r="B10" s="1391"/>
      <c r="C10" s="1405"/>
      <c r="D10" s="1406"/>
      <c r="E10" s="1392"/>
      <c r="F10" s="1392"/>
      <c r="G10" s="1392"/>
      <c r="H10" s="1392"/>
      <c r="I10" s="1392"/>
      <c r="J10" s="1392"/>
      <c r="K10" s="1392"/>
      <c r="L10" s="1383"/>
      <c r="M10" s="1383"/>
      <c r="N10" s="1383"/>
      <c r="O10" s="1383"/>
      <c r="P10" s="1383"/>
      <c r="Q10" s="1383"/>
      <c r="R10" s="1383"/>
      <c r="S10" s="1383"/>
      <c r="T10" s="1383"/>
      <c r="U10" s="1383"/>
      <c r="V10" s="1383"/>
      <c r="W10" s="1383"/>
    </row>
    <row r="11" ht="17.25" customHeight="1">
      <c r="B11" s="1407" t="s">
        <v>1410</v>
      </c>
      <c r="C11" s="1408" t="s">
        <v>247</v>
      </c>
      <c r="D11" s="1386"/>
      <c r="E11" s="1386"/>
      <c r="F11" s="1400" t="s">
        <v>102</v>
      </c>
      <c r="G11" s="1401"/>
      <c r="H11" s="1401"/>
      <c r="I11" s="1401"/>
      <c r="J11" s="1402"/>
      <c r="K11" s="1386"/>
      <c r="L11" s="1386"/>
      <c r="M11" s="1386"/>
      <c r="N11" s="1386"/>
      <c r="O11" s="1386"/>
      <c r="P11" s="1386"/>
      <c r="Q11" s="1386"/>
      <c r="R11" s="1386"/>
      <c r="S11" s="1386"/>
      <c r="T11" s="1386"/>
      <c r="U11" s="1386"/>
      <c r="V11" s="1386"/>
      <c r="W11" s="1386"/>
    </row>
    <row r="12" ht="17.25" customHeight="1">
      <c r="B12" s="1407" t="s">
        <v>1411</v>
      </c>
      <c r="C12" s="1408" t="s">
        <v>385</v>
      </c>
      <c r="D12" s="1386"/>
      <c r="E12" s="1386"/>
      <c r="F12" s="1404" t="s">
        <v>48</v>
      </c>
      <c r="G12" s="1401"/>
      <c r="H12" s="1401"/>
      <c r="I12" s="1401"/>
      <c r="J12" s="1402"/>
      <c r="K12" s="1386"/>
      <c r="L12" s="1386"/>
      <c r="M12" s="1386"/>
      <c r="N12" s="1386"/>
      <c r="O12" s="1386"/>
      <c r="P12" s="1386"/>
      <c r="Q12" s="1386"/>
      <c r="R12" s="1386"/>
      <c r="S12" s="1386"/>
      <c r="T12" s="1386"/>
      <c r="U12" s="1386"/>
      <c r="V12" s="1386"/>
      <c r="W12" s="1386"/>
    </row>
    <row r="13" ht="17.25" customHeight="1">
      <c r="B13" s="1407" t="s">
        <v>1412</v>
      </c>
      <c r="C13" s="1408" t="s">
        <v>218</v>
      </c>
      <c r="D13" s="1386"/>
      <c r="E13" s="1386"/>
      <c r="F13" s="1409" t="s">
        <v>182</v>
      </c>
      <c r="G13" s="1401"/>
      <c r="H13" s="1401"/>
      <c r="I13" s="1401"/>
      <c r="J13" s="1402"/>
      <c r="K13" s="1386"/>
      <c r="L13" s="1386"/>
      <c r="M13" s="1386"/>
      <c r="N13" s="1386"/>
      <c r="O13" s="1386"/>
      <c r="P13" s="1386"/>
      <c r="Q13" s="1386"/>
      <c r="R13" s="1386"/>
      <c r="S13" s="1386"/>
      <c r="T13" s="1386"/>
      <c r="U13" s="1386"/>
      <c r="V13" s="1386"/>
      <c r="W13" s="1386"/>
    </row>
    <row r="14" ht="17.25" customHeight="1">
      <c r="B14" s="1407" t="s">
        <v>1413</v>
      </c>
      <c r="C14" s="1408" t="s">
        <v>186</v>
      </c>
      <c r="D14" s="1386"/>
      <c r="E14" s="1386"/>
      <c r="F14" s="1409" t="s">
        <v>401</v>
      </c>
      <c r="G14" s="1401"/>
      <c r="H14" s="1401"/>
      <c r="I14" s="1401"/>
      <c r="J14" s="1402"/>
      <c r="K14" s="1386"/>
      <c r="L14" s="1386"/>
      <c r="M14" s="1386"/>
      <c r="N14" s="1386"/>
      <c r="O14" s="1386"/>
      <c r="P14" s="1386"/>
      <c r="Q14" s="1386"/>
      <c r="R14" s="1386"/>
      <c r="S14" s="1386"/>
      <c r="T14" s="1386"/>
      <c r="U14" s="1386"/>
      <c r="V14" s="1386"/>
      <c r="W14" s="1386"/>
    </row>
    <row r="15" ht="17.25" customHeight="1">
      <c r="B15" s="1407" t="s">
        <v>1414</v>
      </c>
      <c r="C15" s="1408" t="s">
        <v>363</v>
      </c>
      <c r="D15" s="1386"/>
      <c r="E15" s="1386"/>
      <c r="F15" s="1400" t="s">
        <v>101</v>
      </c>
      <c r="G15" s="1401"/>
      <c r="H15" s="1401"/>
      <c r="I15" s="1401"/>
      <c r="J15" s="1402"/>
      <c r="K15" s="1386"/>
      <c r="L15" s="1386"/>
      <c r="M15" s="1386"/>
      <c r="N15" s="1386"/>
      <c r="O15" s="1386"/>
      <c r="P15" s="1386"/>
      <c r="Q15" s="1386"/>
      <c r="R15" s="1386"/>
      <c r="S15" s="1386"/>
      <c r="T15" s="1386"/>
      <c r="U15" s="1386"/>
      <c r="V15" s="1386"/>
      <c r="W15" s="1386"/>
    </row>
    <row r="16" ht="17.25" customHeight="1">
      <c r="B16" s="1407" t="s">
        <v>1415</v>
      </c>
      <c r="C16" s="1408" t="s">
        <v>253</v>
      </c>
      <c r="D16" s="1386"/>
      <c r="E16" s="1386"/>
      <c r="F16" s="1404" t="s">
        <v>201</v>
      </c>
      <c r="G16" s="1401"/>
      <c r="H16" s="1401"/>
      <c r="I16" s="1401"/>
      <c r="J16" s="1402"/>
      <c r="K16" s="1386"/>
      <c r="L16" s="1386"/>
      <c r="M16" s="1386"/>
      <c r="N16" s="1386"/>
      <c r="O16" s="1386"/>
      <c r="P16" s="1386"/>
      <c r="Q16" s="1386"/>
      <c r="R16" s="1386"/>
      <c r="S16" s="1386"/>
      <c r="T16" s="1386"/>
      <c r="U16" s="1386"/>
      <c r="V16" s="1386"/>
      <c r="W16" s="1386"/>
    </row>
    <row r="17" ht="17.25" customHeight="1">
      <c r="B17" s="1410" t="s">
        <v>1416</v>
      </c>
      <c r="C17" s="1411" t="s">
        <v>216</v>
      </c>
      <c r="D17" s="1386"/>
      <c r="E17" s="1386"/>
      <c r="F17" s="1404" t="s">
        <v>308</v>
      </c>
      <c r="G17" s="1401"/>
      <c r="H17" s="1401"/>
      <c r="I17" s="1401"/>
      <c r="J17" s="1402"/>
      <c r="K17" s="1386"/>
      <c r="L17" s="1386"/>
      <c r="M17" s="1386"/>
      <c r="N17" s="1386"/>
      <c r="O17" s="1386"/>
      <c r="P17" s="1386"/>
      <c r="Q17" s="1386"/>
      <c r="R17" s="1386"/>
      <c r="S17" s="1386"/>
      <c r="T17" s="1386"/>
      <c r="U17" s="1386"/>
      <c r="V17" s="1386"/>
      <c r="W17" s="1386"/>
    </row>
    <row r="18" ht="4.5" customHeight="1">
      <c r="A18" s="1412"/>
      <c r="B18" s="1413"/>
      <c r="C18" s="1412"/>
      <c r="D18" s="1412"/>
      <c r="E18" s="1412"/>
      <c r="F18" s="1412"/>
      <c r="G18" s="1412"/>
      <c r="H18" s="1412"/>
      <c r="I18" s="1412"/>
      <c r="J18" s="1412"/>
      <c r="K18" s="1412"/>
      <c r="L18" s="1383"/>
      <c r="M18" s="1383"/>
      <c r="N18" s="1383"/>
      <c r="O18" s="1383"/>
      <c r="P18" s="1383"/>
      <c r="Q18" s="1383"/>
      <c r="R18" s="1383"/>
      <c r="S18" s="1383"/>
      <c r="T18" s="1383"/>
      <c r="U18" s="1383"/>
      <c r="V18" s="1383"/>
      <c r="W18" s="1383"/>
    </row>
    <row r="19" ht="30.0" customHeight="1">
      <c r="A19" s="1414"/>
      <c r="B19" s="1414"/>
      <c r="C19" s="1414"/>
      <c r="D19" s="1414"/>
      <c r="E19" s="1414"/>
      <c r="F19" s="1414"/>
      <c r="G19" s="1414"/>
      <c r="H19" s="1415"/>
      <c r="I19" s="1415"/>
      <c r="J19" s="1415"/>
      <c r="K19" s="1415"/>
      <c r="L19" s="1415"/>
      <c r="M19" s="1415"/>
      <c r="N19" s="1415"/>
      <c r="O19" s="1415"/>
      <c r="P19" s="1415"/>
      <c r="Q19" s="1415"/>
      <c r="R19" s="1415"/>
      <c r="S19" s="1415"/>
      <c r="T19" s="1415"/>
      <c r="U19" s="1415"/>
      <c r="V19" s="1415"/>
      <c r="W19" s="1415"/>
    </row>
    <row r="20" ht="4.5" customHeight="1">
      <c r="A20" s="1416"/>
      <c r="B20" s="1417"/>
      <c r="C20" s="1417"/>
      <c r="D20" s="1417"/>
      <c r="E20" s="1417"/>
      <c r="F20" s="1417"/>
      <c r="G20" s="1417"/>
      <c r="H20" s="1417"/>
      <c r="I20" s="1417"/>
      <c r="J20" s="1417"/>
      <c r="K20" s="1417"/>
      <c r="L20" s="1417"/>
      <c r="M20" s="1417"/>
      <c r="N20" s="1417"/>
      <c r="O20" s="1418"/>
      <c r="P20" s="1419"/>
      <c r="Q20" s="124"/>
      <c r="R20" s="124"/>
      <c r="S20" s="124"/>
      <c r="T20" s="124"/>
      <c r="U20" s="124"/>
      <c r="V20" s="124"/>
      <c r="W20" s="20"/>
    </row>
    <row r="21" ht="17.25" customHeight="1">
      <c r="A21" s="1420" t="s">
        <v>1417</v>
      </c>
      <c r="B21" s="1421" t="s">
        <v>1418</v>
      </c>
      <c r="C21" s="124"/>
      <c r="D21" s="1389">
        <v>43922.0</v>
      </c>
      <c r="E21" s="124"/>
      <c r="F21" s="124"/>
      <c r="G21" s="20"/>
      <c r="H21" s="1389">
        <v>43953.0</v>
      </c>
      <c r="I21" s="124"/>
      <c r="J21" s="124"/>
      <c r="K21" s="20"/>
      <c r="L21" s="1389">
        <v>43983.0</v>
      </c>
      <c r="M21" s="124"/>
      <c r="N21" s="124"/>
      <c r="O21" s="20"/>
      <c r="P21" s="1389">
        <v>44013.0</v>
      </c>
      <c r="Q21" s="124"/>
      <c r="R21" s="124"/>
      <c r="S21" s="124"/>
      <c r="T21" s="1389">
        <v>44044.0</v>
      </c>
      <c r="U21" s="124"/>
      <c r="V21" s="124"/>
      <c r="W21" s="20"/>
    </row>
    <row r="22" ht="17.25" customHeight="1">
      <c r="B22" s="1422" t="str">
        <f>HYPERLINK("https://docs.google.com/document/d/1Nco4jlTJupbZhpSFRhZ6V2OsVg5mDs8M0mbqg24DeJ0/edit","[ regeerakkoord Samen voor de toekomst ]")</f>
        <v>[ regeerakkoord Samen voor de toekomst ]</v>
      </c>
      <c r="C22" s="1139"/>
      <c r="D22" s="43"/>
      <c r="G22" s="44"/>
      <c r="H22" s="43"/>
      <c r="K22" s="44"/>
      <c r="L22" s="43"/>
      <c r="O22" s="44"/>
      <c r="P22" s="43"/>
      <c r="T22" s="43"/>
      <c r="W22" s="44"/>
    </row>
    <row r="23" ht="4.5" customHeight="1">
      <c r="B23" s="1423"/>
      <c r="C23" s="1424"/>
      <c r="D23" s="26"/>
      <c r="E23" s="330"/>
      <c r="F23" s="330"/>
      <c r="G23" s="27"/>
      <c r="H23" s="26"/>
      <c r="I23" s="330"/>
      <c r="J23" s="330"/>
      <c r="K23" s="27"/>
      <c r="L23" s="26"/>
      <c r="M23" s="330"/>
      <c r="N23" s="330"/>
      <c r="O23" s="27"/>
      <c r="P23" s="26"/>
      <c r="Q23" s="330"/>
      <c r="R23" s="330"/>
      <c r="S23" s="330"/>
      <c r="T23" s="26"/>
      <c r="U23" s="330"/>
      <c r="V23" s="330"/>
      <c r="W23" s="27"/>
    </row>
    <row r="24" ht="17.25" customHeight="1">
      <c r="B24" s="1425" t="s">
        <v>1407</v>
      </c>
      <c r="C24" s="1426" t="s">
        <v>173</v>
      </c>
      <c r="D24" s="1395" t="s">
        <v>16</v>
      </c>
      <c r="E24" s="1396"/>
      <c r="F24" s="1396"/>
      <c r="G24" s="1396"/>
      <c r="H24" s="1396"/>
      <c r="I24" s="1396"/>
      <c r="J24" s="1396"/>
      <c r="K24" s="1396"/>
      <c r="L24" s="1396"/>
      <c r="M24" s="1396"/>
      <c r="N24" s="1396"/>
      <c r="O24" s="1396"/>
      <c r="P24" s="1396"/>
      <c r="Q24" s="1396"/>
      <c r="R24" s="1396"/>
      <c r="S24" s="1396"/>
      <c r="T24" s="1396"/>
      <c r="U24" s="111"/>
      <c r="V24" s="1386"/>
      <c r="W24" s="1386"/>
    </row>
    <row r="25" ht="17.25" customHeight="1">
      <c r="B25" s="1427" t="s">
        <v>1408</v>
      </c>
      <c r="C25" s="1137"/>
      <c r="D25" s="1428" t="s">
        <v>106</v>
      </c>
      <c r="E25" s="992"/>
      <c r="F25" s="992"/>
      <c r="G25" s="992"/>
      <c r="H25" s="992"/>
      <c r="I25" s="992"/>
      <c r="J25" s="1428" t="s">
        <v>25</v>
      </c>
      <c r="K25" s="992"/>
      <c r="L25" s="992"/>
      <c r="M25" s="992"/>
      <c r="N25" s="992"/>
      <c r="O25" s="992"/>
      <c r="P25" s="992"/>
      <c r="Q25" s="992"/>
      <c r="R25" s="992"/>
      <c r="S25" s="992"/>
      <c r="T25" s="992"/>
      <c r="U25" s="999"/>
      <c r="V25" s="1386"/>
      <c r="W25" s="1386"/>
    </row>
    <row r="26" ht="4.5" customHeight="1">
      <c r="B26" s="1429"/>
      <c r="C26" s="1139"/>
      <c r="D26" s="1139"/>
      <c r="E26" s="1139"/>
      <c r="F26" s="1139"/>
      <c r="G26" s="1139"/>
      <c r="H26" s="1139"/>
      <c r="I26" s="1139"/>
      <c r="J26" s="1139"/>
      <c r="K26" s="1139"/>
      <c r="L26" s="1139"/>
      <c r="M26" s="1139"/>
      <c r="N26" s="1139"/>
      <c r="O26" s="1139"/>
      <c r="P26" s="1139"/>
      <c r="Q26" s="1139"/>
      <c r="R26" s="1139"/>
      <c r="S26" s="1139"/>
      <c r="T26" s="1139"/>
      <c r="U26" s="1172"/>
      <c r="V26" s="1386"/>
      <c r="W26" s="1386"/>
    </row>
    <row r="27" ht="17.25" customHeight="1">
      <c r="B27" s="1430" t="s">
        <v>1419</v>
      </c>
      <c r="C27" s="1431" t="s">
        <v>358</v>
      </c>
      <c r="D27" s="1428" t="s">
        <v>106</v>
      </c>
      <c r="E27" s="992"/>
      <c r="F27" s="992"/>
      <c r="G27" s="992"/>
      <c r="H27" s="992"/>
      <c r="I27" s="992"/>
      <c r="J27" s="1432" t="s">
        <v>25</v>
      </c>
      <c r="K27" s="1401"/>
      <c r="L27" s="1401"/>
      <c r="M27" s="1401"/>
      <c r="N27" s="1401"/>
      <c r="O27" s="1401"/>
      <c r="P27" s="1401"/>
      <c r="Q27" s="1401"/>
      <c r="R27" s="1401"/>
      <c r="S27" s="1401"/>
      <c r="T27" s="1401"/>
      <c r="U27" s="1433"/>
      <c r="V27" s="1386"/>
      <c r="W27" s="1386"/>
    </row>
    <row r="28" ht="17.25" customHeight="1">
      <c r="B28" s="1434" t="s">
        <v>1411</v>
      </c>
      <c r="C28" s="1435" t="s">
        <v>385</v>
      </c>
      <c r="D28" s="1436" t="s">
        <v>401</v>
      </c>
      <c r="E28" s="1401"/>
      <c r="F28" s="1401"/>
      <c r="G28" s="1401"/>
      <c r="H28" s="1401"/>
      <c r="I28" s="1401"/>
      <c r="J28" s="1401"/>
      <c r="K28" s="1401"/>
      <c r="L28" s="1401"/>
      <c r="M28" s="1401"/>
      <c r="N28" s="1401"/>
      <c r="O28" s="1401"/>
      <c r="P28" s="1401"/>
      <c r="Q28" s="1401"/>
      <c r="R28" s="1401"/>
      <c r="S28" s="1401"/>
      <c r="T28" s="1401"/>
      <c r="U28" s="1433"/>
      <c r="V28" s="1386"/>
      <c r="W28" s="1386"/>
    </row>
    <row r="29" ht="17.25" customHeight="1">
      <c r="B29" s="1437" t="s">
        <v>1412</v>
      </c>
      <c r="C29" s="1431" t="s">
        <v>218</v>
      </c>
      <c r="D29" s="1436" t="s">
        <v>182</v>
      </c>
      <c r="E29" s="1401"/>
      <c r="F29" s="1401"/>
      <c r="G29" s="1401"/>
      <c r="H29" s="1401"/>
      <c r="I29" s="1401"/>
      <c r="J29" s="1401"/>
      <c r="K29" s="1401"/>
      <c r="L29" s="1401"/>
      <c r="M29" s="1401"/>
      <c r="N29" s="1401"/>
      <c r="O29" s="1401"/>
      <c r="P29" s="1401"/>
      <c r="Q29" s="1401"/>
      <c r="R29" s="1401"/>
      <c r="S29" s="1401"/>
      <c r="T29" s="1401"/>
      <c r="U29" s="1433"/>
      <c r="V29" s="1386"/>
      <c r="W29" s="1386"/>
    </row>
    <row r="30" ht="17.25" customHeight="1">
      <c r="B30" s="1437" t="s">
        <v>1415</v>
      </c>
      <c r="C30" s="1431" t="s">
        <v>253</v>
      </c>
      <c r="D30" s="1432" t="s">
        <v>107</v>
      </c>
      <c r="E30" s="1401"/>
      <c r="F30" s="1401"/>
      <c r="G30" s="1401"/>
      <c r="H30" s="1401"/>
      <c r="I30" s="1401"/>
      <c r="J30" s="1401"/>
      <c r="K30" s="1401"/>
      <c r="L30" s="1401"/>
      <c r="M30" s="1401"/>
      <c r="N30" s="1401"/>
      <c r="O30" s="1401"/>
      <c r="P30" s="1401"/>
      <c r="Q30" s="1401"/>
      <c r="R30" s="1401"/>
      <c r="S30" s="1401"/>
      <c r="T30" s="1401"/>
      <c r="U30" s="1433"/>
      <c r="V30" s="1386"/>
      <c r="W30" s="1386"/>
    </row>
    <row r="31" ht="17.25" customHeight="1">
      <c r="B31" s="1434" t="s">
        <v>1414</v>
      </c>
      <c r="C31" s="1435" t="s">
        <v>363</v>
      </c>
      <c r="D31" s="1432" t="s">
        <v>1355</v>
      </c>
      <c r="E31" s="1401"/>
      <c r="F31" s="1401"/>
      <c r="G31" s="1401"/>
      <c r="H31" s="1402"/>
      <c r="I31" s="1432" t="s">
        <v>109</v>
      </c>
      <c r="J31" s="1401"/>
      <c r="K31" s="1401"/>
      <c r="L31" s="1401"/>
      <c r="M31" s="1401"/>
      <c r="N31" s="1401"/>
      <c r="O31" s="1401"/>
      <c r="P31" s="1401"/>
      <c r="Q31" s="1401"/>
      <c r="R31" s="1401"/>
      <c r="S31" s="1401"/>
      <c r="T31" s="1401"/>
      <c r="U31" s="1433"/>
      <c r="V31" s="1438"/>
      <c r="W31" s="1439"/>
    </row>
    <row r="32" ht="17.25" customHeight="1">
      <c r="A32" s="330"/>
      <c r="B32" s="1440" t="s">
        <v>1416</v>
      </c>
      <c r="C32" s="1441" t="s">
        <v>216</v>
      </c>
      <c r="D32" s="1442" t="s">
        <v>176</v>
      </c>
      <c r="E32" s="992"/>
      <c r="F32" s="992"/>
      <c r="G32" s="992"/>
      <c r="H32" s="992"/>
      <c r="I32" s="1443"/>
      <c r="J32" s="1444" t="s">
        <v>176</v>
      </c>
      <c r="K32" s="992"/>
      <c r="L32" s="995"/>
      <c r="M32" s="1445" t="s">
        <v>308</v>
      </c>
      <c r="N32" s="992"/>
      <c r="O32" s="992"/>
      <c r="P32" s="992"/>
      <c r="Q32" s="992"/>
      <c r="R32" s="992"/>
      <c r="S32" s="992"/>
      <c r="T32" s="992"/>
      <c r="U32" s="999"/>
      <c r="V32" s="1438"/>
      <c r="W32" s="1439"/>
    </row>
    <row r="33" ht="4.5" customHeight="1">
      <c r="A33" s="1384"/>
      <c r="B33" s="16"/>
      <c r="C33" s="16"/>
      <c r="D33" s="16"/>
      <c r="E33" s="16"/>
      <c r="F33" s="16"/>
      <c r="G33" s="16"/>
      <c r="H33" s="16"/>
      <c r="I33" s="16"/>
      <c r="J33" s="16"/>
      <c r="K33" s="16"/>
      <c r="L33" s="16"/>
      <c r="M33" s="16"/>
      <c r="N33" s="16"/>
      <c r="O33" s="16"/>
      <c r="P33" s="16"/>
      <c r="Q33" s="16"/>
      <c r="R33" s="16"/>
      <c r="S33" s="16"/>
      <c r="T33" s="16"/>
      <c r="U33" s="17"/>
      <c r="V33" s="1438"/>
      <c r="W33" s="1439"/>
    </row>
    <row r="34" ht="30.0" customHeight="1">
      <c r="A34" s="808"/>
      <c r="B34" s="808"/>
      <c r="C34" s="808"/>
      <c r="D34" s="808"/>
      <c r="E34" s="808"/>
      <c r="F34" s="1386"/>
      <c r="G34" s="1403"/>
      <c r="H34" s="1438"/>
      <c r="I34" s="1438"/>
      <c r="J34" s="1438"/>
      <c r="K34" s="1438"/>
      <c r="L34" s="1438"/>
      <c r="M34" s="1438"/>
      <c r="N34" s="1438"/>
      <c r="O34" s="1438"/>
      <c r="P34" s="1438"/>
      <c r="Q34" s="1438"/>
      <c r="R34" s="1438"/>
      <c r="S34" s="1438"/>
      <c r="T34" s="1446"/>
      <c r="U34" s="1446"/>
      <c r="V34" s="1438"/>
      <c r="W34" s="1439"/>
    </row>
    <row r="35" ht="4.5" customHeight="1">
      <c r="A35" s="1384"/>
      <c r="B35" s="1384"/>
      <c r="C35" s="1384"/>
      <c r="D35" s="1384"/>
      <c r="E35" s="1384"/>
      <c r="F35" s="1384"/>
      <c r="G35" s="1384"/>
      <c r="H35" s="1384"/>
      <c r="I35" s="1384"/>
      <c r="J35" s="1384"/>
      <c r="K35" s="1384"/>
      <c r="L35" s="1384"/>
      <c r="M35" s="1384"/>
      <c r="N35" s="1384"/>
      <c r="O35" s="1384"/>
      <c r="P35" s="1384"/>
      <c r="Q35" s="1384"/>
      <c r="R35" s="1384"/>
      <c r="S35" s="1447"/>
      <c r="T35" s="1386"/>
      <c r="U35" s="1386"/>
      <c r="V35" s="1386"/>
      <c r="W35" s="1383"/>
    </row>
    <row r="36" ht="17.25" customHeight="1">
      <c r="A36" s="1448" t="s">
        <v>1420</v>
      </c>
      <c r="B36" s="1449" t="s">
        <v>1421</v>
      </c>
      <c r="C36" s="124"/>
      <c r="D36" s="1389">
        <v>43800.0</v>
      </c>
      <c r="E36" s="124"/>
      <c r="F36" s="124"/>
      <c r="G36" s="20"/>
      <c r="H36" s="1389">
        <v>43831.0</v>
      </c>
      <c r="I36" s="124"/>
      <c r="J36" s="124"/>
      <c r="K36" s="20"/>
      <c r="L36" s="1389">
        <v>43862.0</v>
      </c>
      <c r="M36" s="124"/>
      <c r="N36" s="124"/>
      <c r="O36" s="20"/>
      <c r="P36" s="1389">
        <v>43891.0</v>
      </c>
      <c r="Q36" s="124"/>
      <c r="R36" s="124"/>
      <c r="S36" s="20"/>
      <c r="T36" s="1386"/>
      <c r="U36" s="1386"/>
      <c r="V36" s="1386"/>
      <c r="W36" s="1383"/>
    </row>
    <row r="37" ht="17.25" customHeight="1">
      <c r="B37" s="1422" t="str">
        <f>HYPERLINK("https://docs.google.com/document/d/1wcwFZyla7tfdvL5En_Gt0_j9NK7W5k06UXwBYdI3nhs/edit","[ regeerakkoord Vertrouwen in de Samenleving ]")</f>
        <v>[ regeerakkoord Vertrouwen in de Samenleving ]</v>
      </c>
      <c r="C37" s="1139"/>
      <c r="D37" s="43"/>
      <c r="G37" s="44"/>
      <c r="H37" s="43"/>
      <c r="K37" s="44"/>
      <c r="L37" s="43"/>
      <c r="O37" s="44"/>
      <c r="P37" s="43"/>
      <c r="S37" s="44"/>
      <c r="T37" s="1386"/>
      <c r="U37" s="1386"/>
      <c r="V37" s="1386"/>
      <c r="W37" s="1383"/>
    </row>
    <row r="38" ht="4.5" customHeight="1">
      <c r="B38" s="1423"/>
      <c r="C38" s="1424"/>
      <c r="D38" s="26"/>
      <c r="E38" s="330"/>
      <c r="F38" s="330"/>
      <c r="G38" s="27"/>
      <c r="H38" s="26"/>
      <c r="I38" s="330"/>
      <c r="J38" s="330"/>
      <c r="K38" s="27"/>
      <c r="L38" s="26"/>
      <c r="M38" s="330"/>
      <c r="N38" s="330"/>
      <c r="O38" s="27"/>
      <c r="P38" s="26"/>
      <c r="Q38" s="330"/>
      <c r="R38" s="330"/>
      <c r="S38" s="27"/>
      <c r="T38" s="1383"/>
      <c r="U38" s="1383"/>
      <c r="V38" s="1383"/>
      <c r="W38" s="1383"/>
    </row>
    <row r="39" ht="17.25" customHeight="1">
      <c r="B39" s="1425" t="s">
        <v>1407</v>
      </c>
      <c r="C39" s="1426" t="s">
        <v>173</v>
      </c>
      <c r="D39" s="1450" t="s">
        <v>106</v>
      </c>
      <c r="E39" s="1139"/>
      <c r="F39" s="1139"/>
      <c r="G39" s="1139"/>
      <c r="H39" s="1139"/>
      <c r="I39" s="1139"/>
      <c r="J39" s="1139"/>
      <c r="K39" s="1139"/>
      <c r="L39" s="1139"/>
      <c r="M39" s="1139"/>
      <c r="N39" s="1139"/>
      <c r="O39" s="1139"/>
      <c r="P39" s="1139"/>
      <c r="Q39" s="1139"/>
      <c r="R39" s="1172"/>
      <c r="S39" s="1170"/>
      <c r="T39" s="1386"/>
      <c r="U39" s="1386"/>
      <c r="V39" s="1386"/>
      <c r="W39" s="1386"/>
    </row>
    <row r="40" ht="17.25" customHeight="1">
      <c r="B40" s="1427" t="s">
        <v>1408</v>
      </c>
      <c r="C40" s="1137"/>
      <c r="D40" s="1451" t="s">
        <v>102</v>
      </c>
      <c r="E40" s="1139"/>
      <c r="F40" s="1139"/>
      <c r="G40" s="1139"/>
      <c r="H40" s="1139"/>
      <c r="I40" s="1137"/>
      <c r="J40" s="1451" t="s">
        <v>37</v>
      </c>
      <c r="K40" s="1139"/>
      <c r="L40" s="1139"/>
      <c r="M40" s="1139"/>
      <c r="N40" s="1139"/>
      <c r="O40" s="1139"/>
      <c r="P40" s="1139"/>
      <c r="Q40" s="1139"/>
      <c r="R40" s="1172"/>
      <c r="S40" s="1170"/>
      <c r="T40" s="1386"/>
      <c r="U40" s="1386"/>
      <c r="V40" s="1386"/>
      <c r="W40" s="1452"/>
    </row>
    <row r="41" ht="17.25" customHeight="1">
      <c r="B41" s="1427" t="s">
        <v>1409</v>
      </c>
      <c r="C41" s="1137"/>
      <c r="D41" s="1453" t="s">
        <v>206</v>
      </c>
      <c r="E41" s="1139"/>
      <c r="F41" s="1139"/>
      <c r="G41" s="1139"/>
      <c r="H41" s="1139"/>
      <c r="I41" s="1139"/>
      <c r="J41" s="1139"/>
      <c r="K41" s="1139"/>
      <c r="L41" s="1139"/>
      <c r="M41" s="1139"/>
      <c r="N41" s="1139"/>
      <c r="O41" s="1139"/>
      <c r="P41" s="1139"/>
      <c r="Q41" s="1139"/>
      <c r="R41" s="1172"/>
      <c r="S41" s="1170"/>
      <c r="T41" s="1386"/>
      <c r="U41" s="1386"/>
      <c r="V41" s="1386"/>
      <c r="W41" s="1454"/>
    </row>
    <row r="42" ht="4.5" customHeight="1">
      <c r="B42" s="1455"/>
      <c r="C42" s="1456"/>
      <c r="D42" s="1457"/>
      <c r="E42" s="1457"/>
      <c r="F42" s="1457"/>
      <c r="G42" s="1456"/>
      <c r="H42" s="1456"/>
      <c r="I42" s="1456"/>
      <c r="J42" s="1456"/>
      <c r="K42" s="1456"/>
      <c r="L42" s="1456"/>
      <c r="M42" s="1456"/>
      <c r="N42" s="1456"/>
      <c r="O42" s="1456"/>
      <c r="P42" s="1456"/>
      <c r="Q42" s="1456"/>
      <c r="R42" s="1458"/>
      <c r="S42" s="1170"/>
      <c r="T42" s="1383"/>
      <c r="U42" s="1383"/>
      <c r="V42" s="1383"/>
      <c r="W42" s="1454"/>
    </row>
    <row r="43" ht="17.25" customHeight="1">
      <c r="B43" s="1437" t="s">
        <v>1419</v>
      </c>
      <c r="C43" s="1431" t="s">
        <v>358</v>
      </c>
      <c r="D43" s="1451" t="s">
        <v>101</v>
      </c>
      <c r="E43" s="1139"/>
      <c r="F43" s="1139"/>
      <c r="G43" s="1139"/>
      <c r="H43" s="1139"/>
      <c r="I43" s="1139"/>
      <c r="J43" s="1139"/>
      <c r="K43" s="1139"/>
      <c r="L43" s="1139"/>
      <c r="M43" s="1139"/>
      <c r="N43" s="1139"/>
      <c r="O43" s="1139"/>
      <c r="P43" s="1139"/>
      <c r="Q43" s="1139"/>
      <c r="R43" s="1172"/>
      <c r="S43" s="1170"/>
      <c r="T43" s="1386"/>
      <c r="U43" s="1386"/>
      <c r="V43" s="1386"/>
      <c r="W43" s="1454"/>
    </row>
    <row r="44" ht="17.25" customHeight="1">
      <c r="B44" s="1434" t="s">
        <v>1411</v>
      </c>
      <c r="C44" s="1435" t="s">
        <v>385</v>
      </c>
      <c r="D44" s="1451" t="s">
        <v>102</v>
      </c>
      <c r="E44" s="1139"/>
      <c r="F44" s="1139"/>
      <c r="G44" s="1139"/>
      <c r="H44" s="1139"/>
      <c r="I44" s="1137"/>
      <c r="J44" s="1451" t="s">
        <v>252</v>
      </c>
      <c r="K44" s="1139"/>
      <c r="L44" s="1139"/>
      <c r="M44" s="1139"/>
      <c r="N44" s="1139"/>
      <c r="O44" s="1139"/>
      <c r="P44" s="1139"/>
      <c r="Q44" s="1139"/>
      <c r="R44" s="1172"/>
      <c r="S44" s="1170"/>
      <c r="T44" s="1383"/>
      <c r="U44" s="1383"/>
      <c r="V44" s="1383"/>
      <c r="W44" s="1454"/>
    </row>
    <row r="45" ht="17.25" customHeight="1">
      <c r="B45" s="1437" t="s">
        <v>1412</v>
      </c>
      <c r="C45" s="1431" t="s">
        <v>218</v>
      </c>
      <c r="D45" s="1453" t="s">
        <v>16</v>
      </c>
      <c r="E45" s="1139"/>
      <c r="F45" s="1139"/>
      <c r="G45" s="1139"/>
      <c r="H45" s="1139"/>
      <c r="I45" s="1139"/>
      <c r="J45" s="1139"/>
      <c r="K45" s="1139"/>
      <c r="L45" s="1139"/>
      <c r="M45" s="1139"/>
      <c r="N45" s="1139"/>
      <c r="O45" s="1139"/>
      <c r="P45" s="1139"/>
      <c r="Q45" s="1139"/>
      <c r="R45" s="1172"/>
      <c r="S45" s="1170"/>
      <c r="T45" s="1386"/>
      <c r="U45" s="1386"/>
      <c r="V45" s="1386"/>
      <c r="W45" s="1454"/>
    </row>
    <row r="46" ht="17.25" customHeight="1">
      <c r="B46" s="1437" t="s">
        <v>1415</v>
      </c>
      <c r="C46" s="1431" t="s">
        <v>253</v>
      </c>
      <c r="D46" s="1450" t="s">
        <v>25</v>
      </c>
      <c r="E46" s="1139"/>
      <c r="F46" s="1139"/>
      <c r="G46" s="1139"/>
      <c r="H46" s="1139"/>
      <c r="I46" s="1139"/>
      <c r="J46" s="1139"/>
      <c r="K46" s="1139"/>
      <c r="L46" s="1139"/>
      <c r="M46" s="1139"/>
      <c r="N46" s="1139"/>
      <c r="O46" s="1139"/>
      <c r="P46" s="1139"/>
      <c r="Q46" s="1139"/>
      <c r="R46" s="1172"/>
      <c r="S46" s="1170"/>
      <c r="T46" s="1386"/>
      <c r="U46" s="1386"/>
      <c r="V46" s="1386"/>
      <c r="W46" s="1454"/>
    </row>
    <row r="47" ht="17.25" customHeight="1">
      <c r="B47" s="1434" t="s">
        <v>1422</v>
      </c>
      <c r="C47" s="1435" t="s">
        <v>376</v>
      </c>
      <c r="D47" s="1459" t="s">
        <v>176</v>
      </c>
      <c r="E47" s="1451" t="s">
        <v>37</v>
      </c>
      <c r="F47" s="1139"/>
      <c r="G47" s="1139"/>
      <c r="H47" s="1139"/>
      <c r="I47" s="1139"/>
      <c r="J47" s="1139"/>
      <c r="K47" s="1139"/>
      <c r="L47" s="1139"/>
      <c r="M47" s="1139"/>
      <c r="N47" s="1139"/>
      <c r="O47" s="1139"/>
      <c r="P47" s="1139"/>
      <c r="Q47" s="1139"/>
      <c r="R47" s="1172"/>
      <c r="S47" s="1170"/>
      <c r="T47" s="1386"/>
      <c r="U47" s="1386"/>
      <c r="V47" s="1386"/>
      <c r="W47" s="1454"/>
    </row>
    <row r="48" ht="17.25" customHeight="1">
      <c r="A48" s="330"/>
      <c r="B48" s="1434" t="s">
        <v>1416</v>
      </c>
      <c r="C48" s="1431" t="s">
        <v>216</v>
      </c>
      <c r="D48" s="1453" t="s">
        <v>206</v>
      </c>
      <c r="E48" s="1139"/>
      <c r="F48" s="1139"/>
      <c r="G48" s="1139"/>
      <c r="H48" s="1139"/>
      <c r="I48" s="1139"/>
      <c r="J48" s="1139"/>
      <c r="K48" s="1139"/>
      <c r="L48" s="1139"/>
      <c r="M48" s="1139"/>
      <c r="N48" s="1139"/>
      <c r="O48" s="1139"/>
      <c r="P48" s="1139"/>
      <c r="Q48" s="1139"/>
      <c r="R48" s="1172"/>
      <c r="S48" s="1170"/>
      <c r="T48" s="1383"/>
      <c r="U48" s="1383"/>
      <c r="V48" s="1383"/>
      <c r="W48" s="1454"/>
    </row>
    <row r="49" ht="4.5" customHeight="1">
      <c r="A49" s="1384"/>
      <c r="B49" s="1384"/>
      <c r="C49" s="1384"/>
      <c r="D49" s="1460"/>
      <c r="E49" s="1460"/>
      <c r="F49" s="1460"/>
      <c r="G49" s="1460"/>
      <c r="H49" s="1460"/>
      <c r="I49" s="1460"/>
      <c r="J49" s="1460"/>
      <c r="K49" s="1460"/>
      <c r="L49" s="1460"/>
      <c r="M49" s="1460"/>
      <c r="N49" s="1460"/>
      <c r="O49" s="1460"/>
      <c r="P49" s="1384"/>
      <c r="Q49" s="1384"/>
      <c r="R49" s="1447"/>
      <c r="S49" s="1170"/>
      <c r="T49" s="1386"/>
      <c r="U49" s="1386"/>
      <c r="V49" s="1386"/>
      <c r="W49" s="1454"/>
    </row>
    <row r="50" ht="30.0" customHeight="1">
      <c r="A50" s="808"/>
      <c r="B50" s="808"/>
      <c r="C50" s="808"/>
      <c r="D50" s="808"/>
      <c r="E50" s="808"/>
      <c r="F50" s="1386"/>
      <c r="G50" s="1403"/>
      <c r="H50" s="1170"/>
      <c r="I50" s="1170"/>
      <c r="J50" s="1170"/>
      <c r="K50" s="1170"/>
      <c r="L50" s="1170"/>
      <c r="M50" s="1170"/>
      <c r="N50" s="1170"/>
      <c r="O50" s="1170"/>
      <c r="P50" s="1170"/>
      <c r="Q50" s="1170"/>
      <c r="R50" s="1170"/>
      <c r="S50" s="1170"/>
      <c r="T50" s="1386"/>
      <c r="U50" s="1386"/>
      <c r="V50" s="1386"/>
      <c r="W50" s="1415"/>
    </row>
    <row r="51" ht="4.5" customHeight="1">
      <c r="A51" s="1384"/>
      <c r="B51" s="1384"/>
      <c r="C51" s="1384"/>
      <c r="D51" s="1384"/>
      <c r="E51" s="1384"/>
      <c r="F51" s="1384"/>
      <c r="G51" s="1384"/>
      <c r="H51" s="1384"/>
      <c r="I51" s="1384"/>
      <c r="J51" s="1384"/>
      <c r="K51" s="1447"/>
      <c r="L51" s="1170"/>
      <c r="M51" s="1170"/>
      <c r="N51" s="1170"/>
      <c r="O51" s="1170"/>
      <c r="P51" s="1170"/>
      <c r="Q51" s="1170"/>
      <c r="R51" s="1170"/>
      <c r="S51" s="1170"/>
      <c r="T51" s="1170"/>
      <c r="U51" s="1170"/>
      <c r="V51" s="1170"/>
      <c r="W51" s="1170"/>
    </row>
    <row r="52" ht="17.25" customHeight="1">
      <c r="A52" s="1461" t="s">
        <v>1423</v>
      </c>
      <c r="B52" s="1462" t="s">
        <v>1424</v>
      </c>
      <c r="C52" s="124"/>
      <c r="D52" s="1389">
        <v>43739.0</v>
      </c>
      <c r="E52" s="124"/>
      <c r="F52" s="124"/>
      <c r="G52" s="20"/>
      <c r="H52" s="1389">
        <v>43770.0</v>
      </c>
      <c r="I52" s="124"/>
      <c r="J52" s="124"/>
      <c r="K52" s="20"/>
      <c r="L52" s="1415"/>
      <c r="M52" s="1415"/>
      <c r="N52" s="1415"/>
      <c r="O52" s="1415"/>
      <c r="P52" s="1415"/>
      <c r="Q52" s="1170"/>
      <c r="R52" s="1170"/>
      <c r="S52" s="1170"/>
      <c r="T52" s="1170"/>
      <c r="U52" s="1170"/>
      <c r="V52" s="1170"/>
      <c r="W52" s="1170"/>
    </row>
    <row r="53" ht="17.25" customHeight="1">
      <c r="B53" s="1422" t="str">
        <f>HYPERLINK("https://drive.google.com/file/d/1XoJ5Mf0bC2kiWFm1wkd-iB0gBO-qm9_t/view","[ regeerakkoord Zorgvuldig Verdergaan ]")</f>
        <v>[ regeerakkoord Zorgvuldig Verdergaan ]</v>
      </c>
      <c r="C53" s="1139"/>
      <c r="D53" s="43"/>
      <c r="G53" s="44"/>
      <c r="H53" s="43"/>
      <c r="K53" s="44"/>
      <c r="L53" s="1415"/>
      <c r="M53" s="1415"/>
      <c r="N53" s="1415"/>
      <c r="O53" s="1415"/>
      <c r="P53" s="1415"/>
      <c r="Q53" s="1415"/>
      <c r="R53" s="1415"/>
      <c r="S53" s="1415"/>
      <c r="T53" s="1415"/>
      <c r="U53" s="1415"/>
      <c r="V53" s="1415"/>
      <c r="W53" s="1415"/>
    </row>
    <row r="54" ht="4.5" customHeight="1">
      <c r="B54" s="1423"/>
      <c r="C54" s="1424"/>
      <c r="D54" s="26"/>
      <c r="E54" s="330"/>
      <c r="F54" s="330"/>
      <c r="G54" s="27"/>
      <c r="H54" s="26"/>
      <c r="I54" s="330"/>
      <c r="J54" s="330"/>
      <c r="K54" s="27"/>
      <c r="L54" s="1383"/>
      <c r="M54" s="1383"/>
      <c r="N54" s="1383"/>
      <c r="O54" s="1383"/>
      <c r="P54" s="1383"/>
      <c r="Q54" s="1383"/>
      <c r="R54" s="1383"/>
      <c r="S54" s="1383"/>
      <c r="T54" s="1383"/>
      <c r="U54" s="1383"/>
      <c r="V54" s="1383"/>
      <c r="W54" s="1383"/>
    </row>
    <row r="55" ht="17.25" customHeight="1">
      <c r="B55" s="1425" t="s">
        <v>1407</v>
      </c>
      <c r="C55" s="1426" t="s">
        <v>173</v>
      </c>
      <c r="D55" s="1170"/>
      <c r="E55" s="1463" t="s">
        <v>16</v>
      </c>
      <c r="F55" s="1396"/>
      <c r="G55" s="1396"/>
      <c r="H55" s="1396"/>
      <c r="I55" s="1396"/>
      <c r="J55" s="1396"/>
      <c r="K55" s="111"/>
      <c r="L55" s="1383"/>
      <c r="M55" s="1383"/>
      <c r="N55" s="1383"/>
      <c r="O55" s="1383"/>
      <c r="P55" s="1383"/>
      <c r="Q55" s="1383"/>
      <c r="R55" s="1383"/>
      <c r="S55" s="1383"/>
      <c r="T55" s="1383"/>
      <c r="U55" s="1383"/>
      <c r="V55" s="1383"/>
      <c r="W55" s="1383"/>
    </row>
    <row r="56" ht="17.25" customHeight="1">
      <c r="B56" s="1427" t="s">
        <v>1408</v>
      </c>
      <c r="C56" s="1137"/>
      <c r="D56" s="1170"/>
      <c r="E56" s="1464" t="s">
        <v>294</v>
      </c>
      <c r="F56" s="1465"/>
      <c r="G56" s="1464" t="s">
        <v>306</v>
      </c>
      <c r="H56" s="1465"/>
      <c r="I56" s="1466" t="s">
        <v>1425</v>
      </c>
      <c r="J56" s="1396"/>
      <c r="K56" s="111"/>
      <c r="L56" s="1386"/>
      <c r="M56" s="1386"/>
      <c r="N56" s="1386"/>
      <c r="O56" s="1386"/>
      <c r="P56" s="1386"/>
      <c r="Q56" s="1386"/>
      <c r="R56" s="1386"/>
      <c r="S56" s="1386"/>
      <c r="T56" s="1386"/>
      <c r="U56" s="1386"/>
      <c r="V56" s="1386"/>
      <c r="W56" s="1386"/>
    </row>
    <row r="57" ht="17.25" customHeight="1">
      <c r="B57" s="1427" t="s">
        <v>1409</v>
      </c>
      <c r="C57" s="1137"/>
      <c r="D57" s="1170"/>
      <c r="E57" s="1467" t="s">
        <v>1426</v>
      </c>
      <c r="F57" s="1468"/>
      <c r="G57" s="1468"/>
      <c r="H57" s="1468"/>
      <c r="I57" s="1468"/>
      <c r="J57" s="1468"/>
      <c r="K57" s="1469"/>
      <c r="L57" s="1386"/>
      <c r="M57" s="1386"/>
      <c r="N57" s="1386"/>
      <c r="O57" s="1386"/>
      <c r="P57" s="1386"/>
      <c r="Q57" s="1386"/>
      <c r="R57" s="1386"/>
      <c r="S57" s="1386"/>
      <c r="T57" s="1386"/>
      <c r="U57" s="1386"/>
      <c r="V57" s="1386"/>
      <c r="W57" s="1386"/>
    </row>
    <row r="58" ht="4.5" customHeight="1">
      <c r="B58" s="1455"/>
      <c r="C58" s="1456"/>
      <c r="D58" s="1456"/>
      <c r="E58" s="1456"/>
      <c r="F58" s="1456"/>
      <c r="G58" s="1470"/>
      <c r="H58" s="1470"/>
      <c r="I58" s="1470"/>
      <c r="J58" s="1456"/>
      <c r="K58" s="1458"/>
      <c r="L58" s="1386"/>
      <c r="M58" s="1386"/>
      <c r="N58" s="1386"/>
      <c r="O58" s="1386"/>
      <c r="P58" s="1386"/>
      <c r="Q58" s="1386"/>
      <c r="R58" s="1386"/>
      <c r="S58" s="1386"/>
      <c r="T58" s="1386"/>
      <c r="U58" s="1386"/>
      <c r="V58" s="1386"/>
      <c r="W58" s="1386"/>
    </row>
    <row r="59" ht="17.25" customHeight="1">
      <c r="B59" s="1437" t="s">
        <v>1419</v>
      </c>
      <c r="C59" s="1431" t="s">
        <v>358</v>
      </c>
      <c r="D59" s="1170"/>
      <c r="E59" s="1471" t="s">
        <v>244</v>
      </c>
      <c r="F59" s="1465"/>
      <c r="G59" s="1472" t="s">
        <v>1112</v>
      </c>
      <c r="H59" s="1473" t="s">
        <v>440</v>
      </c>
      <c r="I59" s="1396"/>
      <c r="J59" s="1396"/>
      <c r="K59" s="111"/>
      <c r="L59" s="1386"/>
      <c r="M59" s="1386"/>
      <c r="N59" s="1386"/>
      <c r="O59" s="1386"/>
      <c r="P59" s="1386"/>
      <c r="Q59" s="1386"/>
      <c r="R59" s="1386"/>
      <c r="S59" s="1386"/>
      <c r="T59" s="1386"/>
      <c r="U59" s="1386"/>
      <c r="V59" s="1386"/>
      <c r="W59" s="1386"/>
    </row>
    <row r="60" ht="17.25" customHeight="1">
      <c r="B60" s="1434" t="s">
        <v>1427</v>
      </c>
      <c r="C60" s="1435" t="s">
        <v>361</v>
      </c>
      <c r="D60" s="1170"/>
      <c r="E60" s="1467" t="s">
        <v>1426</v>
      </c>
      <c r="F60" s="1468"/>
      <c r="G60" s="1468"/>
      <c r="H60" s="1468"/>
      <c r="I60" s="1468"/>
      <c r="J60" s="1468"/>
      <c r="K60" s="1469"/>
      <c r="L60" s="1386"/>
      <c r="M60" s="1386"/>
      <c r="N60" s="1386"/>
      <c r="O60" s="1386"/>
      <c r="P60" s="1386"/>
      <c r="Q60" s="1386"/>
      <c r="R60" s="1386"/>
      <c r="S60" s="1386"/>
      <c r="T60" s="1386"/>
      <c r="U60" s="1386"/>
      <c r="V60" s="1386"/>
      <c r="W60" s="1386"/>
    </row>
    <row r="61" ht="17.25" customHeight="1">
      <c r="B61" s="1434" t="s">
        <v>1428</v>
      </c>
      <c r="C61" s="1435" t="s">
        <v>353</v>
      </c>
      <c r="D61" s="1170"/>
      <c r="E61" s="1474" t="s">
        <v>197</v>
      </c>
      <c r="F61" s="1468"/>
      <c r="G61" s="1468"/>
      <c r="H61" s="1475"/>
      <c r="I61" s="1476" t="s">
        <v>1356</v>
      </c>
      <c r="J61" s="1396"/>
      <c r="K61" s="111"/>
      <c r="L61" s="1386"/>
      <c r="M61" s="1386"/>
      <c r="N61" s="1386"/>
      <c r="O61" s="1386"/>
      <c r="P61" s="1386"/>
      <c r="Q61" s="1386"/>
      <c r="R61" s="1386"/>
      <c r="S61" s="1386"/>
      <c r="T61" s="1386"/>
      <c r="U61" s="1386"/>
      <c r="V61" s="1386"/>
      <c r="W61" s="1386"/>
    </row>
    <row r="62" ht="17.25" customHeight="1">
      <c r="B62" s="1437" t="s">
        <v>1429</v>
      </c>
      <c r="C62" s="1431" t="s">
        <v>356</v>
      </c>
      <c r="D62" s="1170"/>
      <c r="E62" s="1467" t="s">
        <v>1430</v>
      </c>
      <c r="F62" s="1468"/>
      <c r="G62" s="1468"/>
      <c r="H62" s="1468"/>
      <c r="I62" s="1468"/>
      <c r="J62" s="1468"/>
      <c r="K62" s="1469"/>
      <c r="L62" s="1386"/>
      <c r="M62" s="1386"/>
      <c r="N62" s="1386"/>
      <c r="O62" s="1386"/>
      <c r="P62" s="1386"/>
      <c r="Q62" s="1386"/>
      <c r="R62" s="1386"/>
      <c r="S62" s="1386"/>
      <c r="T62" s="1386"/>
      <c r="U62" s="1386"/>
      <c r="V62" s="1386"/>
      <c r="W62" s="1386"/>
    </row>
    <row r="63" ht="17.25" customHeight="1">
      <c r="B63" s="1437" t="s">
        <v>1414</v>
      </c>
      <c r="C63" s="1431" t="s">
        <v>363</v>
      </c>
      <c r="D63" s="1170"/>
      <c r="E63" s="1477" t="s">
        <v>930</v>
      </c>
      <c r="F63" s="1468"/>
      <c r="G63" s="1468"/>
      <c r="H63" s="1468"/>
      <c r="I63" s="1468"/>
      <c r="J63" s="1468"/>
      <c r="K63" s="1469"/>
      <c r="L63" s="1386"/>
      <c r="M63" s="1386"/>
      <c r="N63" s="1386"/>
      <c r="O63" s="1386"/>
      <c r="P63" s="1386"/>
      <c r="Q63" s="1386"/>
      <c r="R63" s="1386"/>
      <c r="S63" s="1386"/>
      <c r="T63" s="1386"/>
      <c r="U63" s="1386"/>
      <c r="V63" s="1386"/>
      <c r="W63" s="1386"/>
    </row>
    <row r="64" ht="17.25" customHeight="1">
      <c r="B64" s="1478" t="s">
        <v>1431</v>
      </c>
      <c r="C64" s="1431" t="s">
        <v>1432</v>
      </c>
      <c r="D64" s="1170"/>
      <c r="E64" s="1477" t="s">
        <v>1433</v>
      </c>
      <c r="F64" s="1468"/>
      <c r="G64" s="1468"/>
      <c r="H64" s="1468"/>
      <c r="I64" s="1468"/>
      <c r="J64" s="1468"/>
      <c r="K64" s="1469"/>
      <c r="L64" s="1386"/>
      <c r="M64" s="1386"/>
      <c r="N64" s="1386"/>
      <c r="O64" s="1386"/>
      <c r="P64" s="1386"/>
      <c r="Q64" s="1386"/>
      <c r="R64" s="1386"/>
      <c r="S64" s="1386"/>
      <c r="T64" s="1386"/>
      <c r="U64" s="1386"/>
      <c r="V64" s="1386"/>
      <c r="W64" s="1386"/>
    </row>
    <row r="65" ht="17.25" customHeight="1">
      <c r="B65" s="1434" t="s">
        <v>1434</v>
      </c>
      <c r="C65" s="1435" t="s">
        <v>373</v>
      </c>
      <c r="D65" s="1170"/>
      <c r="E65" s="1477" t="s">
        <v>306</v>
      </c>
      <c r="F65" s="1468"/>
      <c r="G65" s="1468"/>
      <c r="H65" s="1475"/>
      <c r="I65" s="1466" t="s">
        <v>1425</v>
      </c>
      <c r="J65" s="1397"/>
      <c r="K65" s="1479" t="s">
        <v>796</v>
      </c>
      <c r="L65" s="1386"/>
      <c r="M65" s="1386"/>
      <c r="N65" s="1386"/>
      <c r="O65" s="1386"/>
      <c r="P65" s="1386"/>
      <c r="Q65" s="1386"/>
      <c r="R65" s="1386"/>
      <c r="S65" s="1386"/>
      <c r="T65" s="1386"/>
      <c r="U65" s="1386"/>
      <c r="V65" s="1386"/>
      <c r="W65" s="1386"/>
    </row>
    <row r="66" ht="17.25" customHeight="1">
      <c r="B66" s="1480" t="s">
        <v>1435</v>
      </c>
      <c r="C66" s="1435" t="s">
        <v>1436</v>
      </c>
      <c r="D66" s="1170"/>
      <c r="E66" s="1477" t="s">
        <v>1437</v>
      </c>
      <c r="F66" s="1468"/>
      <c r="G66" s="1468"/>
      <c r="H66" s="1468"/>
      <c r="I66" s="1468"/>
      <c r="J66" s="1475"/>
      <c r="K66" s="1481" t="s">
        <v>1425</v>
      </c>
      <c r="L66" s="1386"/>
      <c r="M66" s="1386"/>
      <c r="N66" s="1386"/>
      <c r="O66" s="1386"/>
      <c r="P66" s="1386"/>
      <c r="Q66" s="1386"/>
      <c r="R66" s="1386"/>
      <c r="S66" s="1386"/>
      <c r="T66" s="1386"/>
      <c r="U66" s="1386"/>
      <c r="V66" s="1386"/>
      <c r="W66" s="1386"/>
    </row>
    <row r="67" ht="17.25" customHeight="1">
      <c r="A67" s="330"/>
      <c r="B67" s="1434" t="s">
        <v>1438</v>
      </c>
      <c r="C67" s="1431" t="s">
        <v>646</v>
      </c>
      <c r="D67" s="1170"/>
      <c r="E67" s="1477" t="s">
        <v>294</v>
      </c>
      <c r="F67" s="1468"/>
      <c r="G67" s="1468"/>
      <c r="H67" s="1468"/>
      <c r="I67" s="1468"/>
      <c r="J67" s="1468"/>
      <c r="K67" s="1481" t="s">
        <v>1425</v>
      </c>
      <c r="L67" s="1386"/>
      <c r="M67" s="1386"/>
      <c r="N67" s="1386"/>
      <c r="O67" s="1386"/>
      <c r="P67" s="1386"/>
      <c r="Q67" s="1386"/>
      <c r="R67" s="1386"/>
      <c r="S67" s="1386"/>
      <c r="T67" s="1386"/>
      <c r="U67" s="1386"/>
      <c r="V67" s="1386"/>
      <c r="W67" s="1386"/>
    </row>
    <row r="68" ht="4.5" customHeight="1">
      <c r="A68" s="1384"/>
      <c r="B68" s="1384"/>
      <c r="C68" s="1384"/>
      <c r="D68" s="1384"/>
      <c r="E68" s="1460"/>
      <c r="F68" s="1460"/>
      <c r="G68" s="1460"/>
      <c r="H68" s="1460"/>
      <c r="I68" s="1460"/>
      <c r="J68" s="1460"/>
      <c r="K68" s="1482"/>
      <c r="L68" s="1170"/>
      <c r="M68" s="1170"/>
      <c r="N68" s="1170"/>
      <c r="O68" s="1386"/>
      <c r="P68" s="1386"/>
      <c r="Q68" s="1386"/>
      <c r="R68" s="1386"/>
      <c r="S68" s="1386"/>
      <c r="T68" s="1386"/>
      <c r="U68" s="1386"/>
      <c r="V68" s="1386"/>
      <c r="W68" s="1386"/>
    </row>
    <row r="69" ht="30.0" customHeight="1">
      <c r="A69" s="808"/>
      <c r="B69" s="808"/>
      <c r="C69" s="808"/>
      <c r="D69" s="808"/>
      <c r="E69" s="808"/>
      <c r="F69" s="1386"/>
      <c r="G69" s="1403"/>
      <c r="H69" s="1386"/>
      <c r="I69" s="1386"/>
      <c r="J69" s="1170"/>
      <c r="K69" s="1170"/>
      <c r="L69" s="809"/>
      <c r="M69" s="809"/>
      <c r="N69" s="809"/>
      <c r="O69" s="1386"/>
      <c r="P69" s="1386"/>
      <c r="Q69" s="1386"/>
      <c r="R69" s="1386"/>
      <c r="S69" s="1386"/>
      <c r="T69" s="1386"/>
      <c r="U69" s="1386"/>
      <c r="V69" s="1386"/>
      <c r="W69" s="1386"/>
    </row>
    <row r="70" ht="4.5" customHeight="1">
      <c r="A70" s="1384"/>
      <c r="B70" s="1384"/>
      <c r="C70" s="1384"/>
      <c r="D70" s="1384"/>
      <c r="E70" s="1384"/>
      <c r="F70" s="1384"/>
      <c r="G70" s="1384"/>
      <c r="H70" s="1384"/>
      <c r="I70" s="1384"/>
      <c r="J70" s="1384"/>
      <c r="K70" s="1384"/>
      <c r="L70" s="1384"/>
      <c r="M70" s="1384"/>
      <c r="N70" s="1384"/>
      <c r="O70" s="1447"/>
      <c r="P70" s="1386"/>
      <c r="Q70" s="1386"/>
      <c r="R70" s="1386"/>
      <c r="S70" s="1386"/>
      <c r="T70" s="1386"/>
      <c r="U70" s="1386"/>
      <c r="V70" s="1386"/>
      <c r="W70" s="1386"/>
    </row>
    <row r="71" ht="17.25" customHeight="1">
      <c r="A71" s="1483" t="s">
        <v>1439</v>
      </c>
      <c r="B71" s="1484" t="s">
        <v>1440</v>
      </c>
      <c r="C71" s="124"/>
      <c r="D71" s="1389">
        <v>43647.0</v>
      </c>
      <c r="E71" s="124"/>
      <c r="F71" s="124"/>
      <c r="G71" s="20"/>
      <c r="H71" s="1389">
        <v>43678.0</v>
      </c>
      <c r="I71" s="124"/>
      <c r="J71" s="124"/>
      <c r="K71" s="20"/>
      <c r="L71" s="1389">
        <v>43709.0</v>
      </c>
      <c r="M71" s="124"/>
      <c r="N71" s="124"/>
      <c r="O71" s="20"/>
      <c r="P71" s="1386"/>
      <c r="Q71" s="1386"/>
      <c r="R71" s="1386"/>
      <c r="S71" s="1386"/>
      <c r="T71" s="1386"/>
      <c r="U71" s="1386"/>
      <c r="V71" s="1386"/>
      <c r="W71" s="1386"/>
    </row>
    <row r="72" ht="17.25" customHeight="1">
      <c r="B72" s="1485" t="str">
        <f>HYPERLINK("https://www.docdroid.net/lto0JxF/regeerakkoord-een-hoefijzercoalitie-door-het-nemen-van-verantwoordelijkheid-als-resultaat-van-een-pragmatisch-overleg.pdf#page=4","[ Regeerakkoord ''Hoefijzercoalitie verantwoordelijkheid nemen'' ]")</f>
        <v>[ Regeerakkoord ''Hoefijzercoalitie verantwoordelijkheid nemen'' ]</v>
      </c>
      <c r="C72" s="1139"/>
      <c r="D72" s="43"/>
      <c r="G72" s="44"/>
      <c r="H72" s="43"/>
      <c r="K72" s="44"/>
      <c r="L72" s="43"/>
      <c r="O72" s="44"/>
      <c r="P72" s="1386"/>
      <c r="Q72" s="1386"/>
      <c r="R72" s="1386"/>
      <c r="S72" s="1386"/>
      <c r="T72" s="1386"/>
      <c r="U72" s="1386"/>
      <c r="V72" s="1386"/>
      <c r="W72" s="1386"/>
    </row>
    <row r="73" ht="4.5" customHeight="1">
      <c r="B73" s="1423"/>
      <c r="C73" s="1424"/>
      <c r="D73" s="26"/>
      <c r="E73" s="330"/>
      <c r="F73" s="330"/>
      <c r="G73" s="27"/>
      <c r="H73" s="26"/>
      <c r="I73" s="330"/>
      <c r="J73" s="330"/>
      <c r="K73" s="27"/>
      <c r="L73" s="26"/>
      <c r="M73" s="330"/>
      <c r="N73" s="330"/>
      <c r="O73" s="27"/>
      <c r="P73" s="1386"/>
      <c r="Q73" s="1386"/>
      <c r="R73" s="1386"/>
      <c r="S73" s="1386"/>
      <c r="T73" s="1386"/>
      <c r="U73" s="1386"/>
      <c r="V73" s="1386"/>
      <c r="W73" s="1386"/>
    </row>
    <row r="74" ht="17.25" customHeight="1">
      <c r="B74" s="1425" t="s">
        <v>1407</v>
      </c>
      <c r="C74" s="1426" t="s">
        <v>173</v>
      </c>
      <c r="D74" s="1486" t="s">
        <v>32</v>
      </c>
      <c r="E74" s="1396"/>
      <c r="F74" s="1396"/>
      <c r="G74" s="1396"/>
      <c r="H74" s="1396"/>
      <c r="I74" s="1396"/>
      <c r="J74" s="1396"/>
      <c r="K74" s="1396"/>
      <c r="L74" s="1396"/>
      <c r="M74" s="1396"/>
      <c r="N74" s="1396"/>
      <c r="O74" s="111"/>
      <c r="P74" s="1386"/>
      <c r="Q74" s="1386"/>
      <c r="R74" s="1386"/>
      <c r="S74" s="1386"/>
      <c r="T74" s="1386"/>
      <c r="U74" s="1386"/>
      <c r="V74" s="1386"/>
      <c r="W74" s="1386"/>
    </row>
    <row r="75" ht="17.25" customHeight="1">
      <c r="B75" s="1427" t="s">
        <v>1408</v>
      </c>
      <c r="C75" s="1137"/>
      <c r="D75" s="1487" t="s">
        <v>102</v>
      </c>
      <c r="E75" s="1396"/>
      <c r="F75" s="1396"/>
      <c r="G75" s="1396"/>
      <c r="H75" s="1396"/>
      <c r="I75" s="1396"/>
      <c r="J75" s="1396"/>
      <c r="K75" s="1396"/>
      <c r="L75" s="1396"/>
      <c r="M75" s="1396"/>
      <c r="N75" s="1396"/>
      <c r="O75" s="111"/>
      <c r="P75" s="1386"/>
      <c r="Q75" s="1386"/>
      <c r="R75" s="1386"/>
      <c r="S75" s="1386"/>
      <c r="T75" s="1386"/>
      <c r="U75" s="1386"/>
      <c r="V75" s="1386"/>
      <c r="W75" s="1386"/>
    </row>
    <row r="76" ht="17.25" customHeight="1">
      <c r="B76" s="1427" t="s">
        <v>1409</v>
      </c>
      <c r="C76" s="1137"/>
      <c r="D76" s="1488" t="s">
        <v>308</v>
      </c>
      <c r="E76" s="1396"/>
      <c r="F76" s="1396"/>
      <c r="G76" s="1396"/>
      <c r="H76" s="1396"/>
      <c r="I76" s="1396"/>
      <c r="J76" s="1396"/>
      <c r="K76" s="1396"/>
      <c r="L76" s="1396"/>
      <c r="M76" s="1396"/>
      <c r="N76" s="1396"/>
      <c r="O76" s="111"/>
      <c r="P76" s="1386"/>
      <c r="Q76" s="1386"/>
      <c r="R76" s="1386"/>
      <c r="S76" s="1386"/>
      <c r="T76" s="1386"/>
      <c r="U76" s="1386"/>
      <c r="V76" s="1386"/>
      <c r="W76" s="1386"/>
    </row>
    <row r="77" ht="17.25" customHeight="1">
      <c r="B77" s="1427" t="s">
        <v>1441</v>
      </c>
      <c r="C77" s="1137"/>
      <c r="D77" s="1489" t="s">
        <v>176</v>
      </c>
      <c r="E77" s="1490" t="s">
        <v>1425</v>
      </c>
      <c r="O77" s="44"/>
      <c r="P77" s="1386"/>
      <c r="Q77" s="1386"/>
      <c r="R77" s="1386"/>
      <c r="S77" s="1386"/>
      <c r="T77" s="1386"/>
      <c r="U77" s="1386"/>
      <c r="V77" s="1386"/>
      <c r="W77" s="1386"/>
    </row>
    <row r="78" ht="4.5" customHeight="1">
      <c r="B78" s="1455"/>
      <c r="C78" s="1456"/>
      <c r="D78" s="1491"/>
      <c r="E78" s="1491"/>
      <c r="F78" s="1491"/>
      <c r="G78" s="1491"/>
      <c r="H78" s="1491"/>
      <c r="I78" s="1491"/>
      <c r="J78" s="1491"/>
      <c r="K78" s="1491"/>
      <c r="L78" s="1491"/>
      <c r="M78" s="1491"/>
      <c r="N78" s="1491"/>
      <c r="O78" s="1492"/>
      <c r="P78" s="1386"/>
      <c r="Q78" s="1386"/>
      <c r="R78" s="1386"/>
      <c r="S78" s="1386"/>
      <c r="T78" s="1386"/>
      <c r="U78" s="1386"/>
      <c r="V78" s="1386"/>
      <c r="W78" s="1386"/>
    </row>
    <row r="79" ht="17.25" customHeight="1">
      <c r="B79" s="1493" t="s">
        <v>1410</v>
      </c>
      <c r="C79" s="1494" t="s">
        <v>247</v>
      </c>
      <c r="D79" s="1495" t="s">
        <v>136</v>
      </c>
      <c r="E79" s="992"/>
      <c r="F79" s="992"/>
      <c r="G79" s="992"/>
      <c r="H79" s="992"/>
      <c r="I79" s="992"/>
      <c r="J79" s="992"/>
      <c r="K79" s="992"/>
      <c r="L79" s="992"/>
      <c r="M79" s="992"/>
      <c r="N79" s="992"/>
      <c r="O79" s="999"/>
      <c r="P79" s="1386"/>
      <c r="Q79" s="1386"/>
      <c r="R79" s="1386"/>
      <c r="S79" s="1386"/>
      <c r="T79" s="1386"/>
      <c r="U79" s="1386"/>
      <c r="V79" s="1386"/>
      <c r="W79" s="1386"/>
    </row>
    <row r="80" ht="17.25" customHeight="1">
      <c r="B80" s="1496" t="s">
        <v>1442</v>
      </c>
      <c r="C80" s="1497" t="s">
        <v>183</v>
      </c>
      <c r="D80" s="1498" t="s">
        <v>102</v>
      </c>
      <c r="O80" s="44"/>
      <c r="P80" s="1386"/>
      <c r="Q80" s="1386"/>
      <c r="R80" s="1386"/>
      <c r="S80" s="1386"/>
      <c r="T80" s="1386"/>
      <c r="U80" s="1386"/>
      <c r="V80" s="1386"/>
      <c r="W80" s="1386"/>
    </row>
    <row r="81" ht="17.25" customHeight="1">
      <c r="B81" s="1434" t="s">
        <v>1443</v>
      </c>
      <c r="C81" s="1435" t="s">
        <v>198</v>
      </c>
      <c r="D81" s="1499" t="s">
        <v>282</v>
      </c>
      <c r="N81" s="1498" t="s">
        <v>102</v>
      </c>
      <c r="O81" s="44"/>
      <c r="P81" s="1386"/>
      <c r="Q81" s="1386"/>
      <c r="R81" s="1386"/>
      <c r="S81" s="1386"/>
      <c r="T81" s="1386"/>
      <c r="U81" s="1386"/>
      <c r="V81" s="1386"/>
      <c r="W81" s="1386"/>
    </row>
    <row r="82" ht="17.25" customHeight="1">
      <c r="B82" s="1437" t="s">
        <v>1444</v>
      </c>
      <c r="C82" s="1431" t="s">
        <v>1445</v>
      </c>
      <c r="D82" s="1498" t="s">
        <v>197</v>
      </c>
      <c r="O82" s="44"/>
      <c r="P82" s="1386"/>
      <c r="Q82" s="1386"/>
      <c r="R82" s="1386"/>
      <c r="S82" s="1386"/>
      <c r="T82" s="1386"/>
      <c r="U82" s="1386"/>
      <c r="V82" s="1386"/>
      <c r="W82" s="1386"/>
    </row>
    <row r="83" ht="17.25" customHeight="1">
      <c r="B83" s="1437" t="s">
        <v>1446</v>
      </c>
      <c r="C83" s="1431" t="s">
        <v>309</v>
      </c>
      <c r="D83" s="1499" t="s">
        <v>16</v>
      </c>
      <c r="O83" s="44"/>
      <c r="P83" s="1386"/>
      <c r="Q83" s="1386"/>
      <c r="R83" s="1386"/>
      <c r="S83" s="1386"/>
      <c r="T83" s="1386"/>
      <c r="U83" s="1386"/>
      <c r="V83" s="1386"/>
      <c r="W83" s="1386"/>
    </row>
    <row r="84" ht="17.25" customHeight="1">
      <c r="B84" s="1434" t="s">
        <v>1416</v>
      </c>
      <c r="C84" s="1435" t="s">
        <v>216</v>
      </c>
      <c r="D84" s="1500" t="s">
        <v>308</v>
      </c>
      <c r="O84" s="44"/>
      <c r="P84" s="1386"/>
      <c r="Q84" s="1386"/>
      <c r="R84" s="1386"/>
      <c r="S84" s="1386"/>
      <c r="T84" s="1386"/>
      <c r="U84" s="1386"/>
      <c r="V84" s="1386"/>
      <c r="W84" s="1386"/>
    </row>
    <row r="85" ht="17.25" customHeight="1">
      <c r="B85" s="1434" t="s">
        <v>1415</v>
      </c>
      <c r="C85" s="1431" t="s">
        <v>253</v>
      </c>
      <c r="D85" s="1500" t="s">
        <v>201</v>
      </c>
      <c r="O85" s="44"/>
      <c r="P85" s="1386"/>
      <c r="Q85" s="1386"/>
      <c r="R85" s="1386"/>
      <c r="S85" s="1386"/>
      <c r="T85" s="1386"/>
      <c r="U85" s="1386"/>
      <c r="V85" s="1386"/>
      <c r="W85" s="1386"/>
    </row>
    <row r="86" ht="17.25" customHeight="1">
      <c r="B86" s="1430" t="s">
        <v>1447</v>
      </c>
      <c r="C86" s="1501" t="s">
        <v>250</v>
      </c>
      <c r="D86" s="1489" t="s">
        <v>176</v>
      </c>
      <c r="E86" s="1499" t="s">
        <v>294</v>
      </c>
      <c r="L86" s="1502" t="s">
        <v>111</v>
      </c>
      <c r="O86" s="44"/>
      <c r="P86" s="1386"/>
      <c r="Q86" s="1386"/>
      <c r="R86" s="1386"/>
      <c r="S86" s="1386"/>
      <c r="T86" s="1386"/>
      <c r="U86" s="1386"/>
      <c r="V86" s="1386"/>
      <c r="W86" s="1386"/>
    </row>
    <row r="87" ht="17.25" customHeight="1">
      <c r="A87" s="330"/>
      <c r="B87" s="1503" t="s">
        <v>1448</v>
      </c>
      <c r="C87" s="191"/>
      <c r="D87" s="1504" t="s">
        <v>1425</v>
      </c>
      <c r="E87" s="1396"/>
      <c r="F87" s="1396"/>
      <c r="G87" s="1397"/>
      <c r="H87" s="1505" t="s">
        <v>176</v>
      </c>
      <c r="I87" s="1396"/>
      <c r="J87" s="1396"/>
      <c r="K87" s="1396"/>
      <c r="L87" s="1396"/>
      <c r="M87" s="1396"/>
      <c r="N87" s="1396"/>
      <c r="O87" s="111"/>
      <c r="P87" s="1386"/>
      <c r="Q87" s="1386"/>
      <c r="R87" s="1386"/>
      <c r="S87" s="1386"/>
      <c r="T87" s="1386"/>
      <c r="U87" s="1386"/>
      <c r="V87" s="1386"/>
      <c r="W87" s="1386"/>
    </row>
    <row r="88" ht="4.5" customHeight="1">
      <c r="A88" s="1384"/>
      <c r="B88" s="1384"/>
      <c r="C88" s="1384"/>
      <c r="D88" s="1384"/>
      <c r="E88" s="1384"/>
      <c r="F88" s="1384"/>
      <c r="G88" s="1384"/>
      <c r="H88" s="1384"/>
      <c r="I88" s="1384"/>
      <c r="J88" s="1384"/>
      <c r="K88" s="1384"/>
      <c r="L88" s="1384"/>
      <c r="M88" s="1384"/>
      <c r="N88" s="1384"/>
      <c r="O88" s="1447"/>
      <c r="P88" s="1386"/>
      <c r="Q88" s="1386"/>
      <c r="R88" s="1386"/>
      <c r="S88" s="1386"/>
      <c r="T88" s="1386"/>
      <c r="U88" s="1386"/>
      <c r="V88" s="1386"/>
      <c r="W88" s="1386"/>
    </row>
    <row r="89" ht="30.0" customHeight="1">
      <c r="A89" s="808"/>
      <c r="B89" s="808"/>
      <c r="C89" s="808"/>
      <c r="D89" s="808"/>
      <c r="E89" s="808"/>
      <c r="F89" s="1386"/>
      <c r="G89" s="1403"/>
      <c r="H89" s="1403"/>
      <c r="I89" s="1163"/>
      <c r="J89" s="1163"/>
      <c r="K89" s="1163"/>
      <c r="L89" s="809"/>
      <c r="M89" s="808"/>
      <c r="N89" s="808"/>
      <c r="O89" s="808"/>
      <c r="P89" s="1386"/>
      <c r="Q89" s="1386"/>
      <c r="R89" s="1386"/>
      <c r="S89" s="1386"/>
      <c r="T89" s="1386"/>
      <c r="U89" s="1386"/>
      <c r="V89" s="1386"/>
      <c r="W89" s="1386"/>
    </row>
    <row r="90" ht="4.5" customHeight="1">
      <c r="A90" s="1384"/>
      <c r="B90" s="1384"/>
      <c r="C90" s="1384"/>
      <c r="D90" s="1384"/>
      <c r="E90" s="1384"/>
      <c r="F90" s="1384"/>
      <c r="G90" s="1384"/>
      <c r="H90" s="1384"/>
      <c r="I90" s="1384"/>
      <c r="J90" s="1384"/>
      <c r="K90" s="1447"/>
      <c r="L90" s="1170"/>
      <c r="M90" s="809"/>
      <c r="N90" s="809"/>
      <c r="O90" s="809"/>
      <c r="P90" s="1386"/>
      <c r="Q90" s="1386"/>
      <c r="R90" s="1386"/>
      <c r="S90" s="1386"/>
      <c r="T90" s="1386"/>
      <c r="U90" s="1386"/>
      <c r="V90" s="1386"/>
      <c r="W90" s="1386"/>
    </row>
    <row r="91" ht="17.25" customHeight="1">
      <c r="A91" s="1506" t="s">
        <v>1449</v>
      </c>
      <c r="B91" s="1507" t="s">
        <v>1450</v>
      </c>
      <c r="C91" s="124"/>
      <c r="D91" s="1508">
        <v>43586.0</v>
      </c>
      <c r="E91" s="124"/>
      <c r="F91" s="124"/>
      <c r="G91" s="20"/>
      <c r="H91" s="1389">
        <v>43617.0</v>
      </c>
      <c r="I91" s="124"/>
      <c r="J91" s="124"/>
      <c r="K91" s="20"/>
      <c r="L91" s="1509"/>
      <c r="M91" s="1509"/>
      <c r="N91" s="1509"/>
      <c r="O91" s="1509"/>
      <c r="P91" s="1386"/>
      <c r="Q91" s="1386"/>
      <c r="R91" s="1386"/>
      <c r="S91" s="1386"/>
      <c r="T91" s="1386"/>
      <c r="U91" s="1386"/>
      <c r="V91" s="1386"/>
      <c r="W91" s="1386"/>
    </row>
    <row r="92" ht="17.25" customHeight="1">
      <c r="B92" s="1510" t="str">
        <f>HYPERLINK("https://drive.google.com/file/d/1n8_AYjgrevaz-ux03bmGrXO4LeJqBDL4/view","[ Regeerakkoord ''Vertrouwen in de toekomst'' ]")</f>
        <v>[ Regeerakkoord ''Vertrouwen in de toekomst'' ]</v>
      </c>
      <c r="C92" s="1139"/>
      <c r="D92" s="43"/>
      <c r="G92" s="44"/>
      <c r="H92" s="43"/>
      <c r="K92" s="44"/>
      <c r="L92" s="1386"/>
      <c r="M92" s="1386"/>
      <c r="N92" s="1386"/>
      <c r="O92" s="1386"/>
      <c r="P92" s="1386"/>
      <c r="Q92" s="1386"/>
      <c r="R92" s="1386"/>
      <c r="S92" s="1386"/>
      <c r="T92" s="1386"/>
      <c r="U92" s="1386"/>
      <c r="V92" s="1386"/>
      <c r="W92" s="1386"/>
    </row>
    <row r="93" ht="4.5" customHeight="1">
      <c r="B93" s="1455"/>
      <c r="C93" s="1511"/>
      <c r="D93" s="26"/>
      <c r="E93" s="330"/>
      <c r="F93" s="330"/>
      <c r="G93" s="27"/>
      <c r="H93" s="26"/>
      <c r="I93" s="330"/>
      <c r="J93" s="330"/>
      <c r="K93" s="27"/>
      <c r="L93" s="1386"/>
      <c r="M93" s="1386"/>
      <c r="N93" s="1386"/>
      <c r="O93" s="1386"/>
      <c r="P93" s="1386"/>
      <c r="Q93" s="1386"/>
      <c r="R93" s="1386"/>
      <c r="S93" s="1386"/>
      <c r="T93" s="1386"/>
      <c r="U93" s="1386"/>
      <c r="V93" s="1386"/>
      <c r="W93" s="1386"/>
    </row>
    <row r="94" ht="17.25" customHeight="1">
      <c r="B94" s="1512" t="s">
        <v>1407</v>
      </c>
      <c r="C94" s="1513" t="s">
        <v>173</v>
      </c>
      <c r="D94" s="1498" t="s">
        <v>206</v>
      </c>
      <c r="K94" s="44"/>
      <c r="L94" s="1386"/>
      <c r="M94" s="1386"/>
      <c r="N94" s="1386"/>
      <c r="O94" s="1386"/>
      <c r="P94" s="1386"/>
      <c r="Q94" s="1386"/>
      <c r="R94" s="1386"/>
      <c r="S94" s="1386"/>
      <c r="T94" s="1386"/>
      <c r="U94" s="1386"/>
      <c r="V94" s="1386"/>
      <c r="W94" s="1386"/>
    </row>
    <row r="95" ht="17.25" customHeight="1">
      <c r="B95" s="1514" t="s">
        <v>1451</v>
      </c>
      <c r="C95" s="132"/>
      <c r="D95" s="1515" t="s">
        <v>244</v>
      </c>
      <c r="K95" s="44"/>
      <c r="L95" s="1386"/>
      <c r="M95" s="1386"/>
      <c r="N95" s="1386"/>
      <c r="O95" s="1386"/>
      <c r="P95" s="1386"/>
      <c r="Q95" s="1386"/>
      <c r="R95" s="1386"/>
      <c r="S95" s="1386"/>
      <c r="T95" s="1386"/>
      <c r="U95" s="1386"/>
      <c r="V95" s="1386"/>
      <c r="W95" s="1386"/>
    </row>
    <row r="96" ht="4.5" customHeight="1">
      <c r="B96" s="1516"/>
      <c r="C96" s="1517"/>
      <c r="D96" s="1518"/>
      <c r="E96" s="1139"/>
      <c r="F96" s="1139"/>
      <c r="G96" s="1139"/>
      <c r="H96" s="1139"/>
      <c r="I96" s="1139"/>
      <c r="J96" s="1139"/>
      <c r="K96" s="1172"/>
      <c r="L96" s="1386"/>
      <c r="M96" s="1386"/>
      <c r="N96" s="1386"/>
      <c r="O96" s="1386"/>
      <c r="P96" s="1386"/>
      <c r="Q96" s="1386"/>
      <c r="R96" s="1386"/>
      <c r="S96" s="1386"/>
      <c r="T96" s="1386"/>
      <c r="U96" s="1386"/>
      <c r="V96" s="1386"/>
      <c r="W96" s="1386"/>
    </row>
    <row r="97" ht="17.25" customHeight="1">
      <c r="B97" s="1496" t="s">
        <v>1410</v>
      </c>
      <c r="C97" s="1519" t="s">
        <v>247</v>
      </c>
      <c r="D97" s="1520" t="s">
        <v>262</v>
      </c>
      <c r="E97" s="992"/>
      <c r="F97" s="992"/>
      <c r="G97" s="992"/>
      <c r="H97" s="992"/>
      <c r="I97" s="992"/>
      <c r="J97" s="992"/>
      <c r="K97" s="999"/>
      <c r="L97" s="1386"/>
      <c r="M97" s="1386"/>
      <c r="N97" s="1386"/>
      <c r="O97" s="1386"/>
      <c r="P97" s="1386"/>
      <c r="Q97" s="1386"/>
      <c r="R97" s="1386"/>
      <c r="S97" s="1386"/>
      <c r="T97" s="1386"/>
      <c r="U97" s="1386"/>
      <c r="V97" s="1386"/>
      <c r="W97" s="1386"/>
    </row>
    <row r="98" ht="17.25" customHeight="1">
      <c r="B98" s="1521" t="s">
        <v>1442</v>
      </c>
      <c r="C98" s="1522" t="s">
        <v>183</v>
      </c>
      <c r="D98" s="1498" t="s">
        <v>102</v>
      </c>
      <c r="K98" s="44"/>
      <c r="L98" s="1386"/>
      <c r="M98" s="1386"/>
      <c r="N98" s="1386"/>
      <c r="O98" s="1386"/>
      <c r="P98" s="1386"/>
      <c r="Q98" s="1386"/>
      <c r="R98" s="1386"/>
      <c r="S98" s="1386"/>
      <c r="T98" s="1386"/>
      <c r="U98" s="1386"/>
      <c r="V98" s="1386"/>
      <c r="W98" s="1386"/>
    </row>
    <row r="99" ht="17.25" customHeight="1">
      <c r="B99" s="1496" t="s">
        <v>1452</v>
      </c>
      <c r="C99" s="1519" t="s">
        <v>218</v>
      </c>
      <c r="D99" s="1523" t="s">
        <v>252</v>
      </c>
      <c r="K99" s="44"/>
      <c r="L99" s="1386"/>
      <c r="M99" s="1386"/>
      <c r="N99" s="1386"/>
      <c r="O99" s="1386"/>
      <c r="P99" s="1386"/>
      <c r="Q99" s="1386"/>
      <c r="R99" s="1386"/>
      <c r="S99" s="1386"/>
      <c r="T99" s="1386"/>
      <c r="U99" s="1386"/>
      <c r="V99" s="1386"/>
      <c r="W99" s="1386"/>
    </row>
    <row r="100" ht="17.25" customHeight="1">
      <c r="B100" s="1434" t="s">
        <v>1453</v>
      </c>
      <c r="C100" s="1519" t="s">
        <v>276</v>
      </c>
      <c r="D100" s="1498" t="s">
        <v>100</v>
      </c>
      <c r="H100" s="1524" t="s">
        <v>197</v>
      </c>
      <c r="K100" s="44"/>
      <c r="L100" s="1386"/>
      <c r="M100" s="1386"/>
      <c r="N100" s="1386"/>
      <c r="O100" s="1386"/>
      <c r="P100" s="1386"/>
      <c r="Q100" s="1386"/>
      <c r="R100" s="1386"/>
      <c r="S100" s="1386"/>
      <c r="T100" s="1386"/>
      <c r="U100" s="1386"/>
      <c r="V100" s="1386"/>
      <c r="W100" s="1386"/>
    </row>
    <row r="101" ht="17.25" customHeight="1">
      <c r="B101" s="1521" t="s">
        <v>1454</v>
      </c>
      <c r="C101" s="1522" t="s">
        <v>236</v>
      </c>
      <c r="D101" s="1523" t="s">
        <v>244</v>
      </c>
      <c r="K101" s="44"/>
      <c r="L101" s="1386"/>
      <c r="M101" s="1386"/>
      <c r="N101" s="1386"/>
      <c r="O101" s="1386"/>
      <c r="P101" s="1386"/>
      <c r="Q101" s="1386"/>
      <c r="R101" s="1386"/>
      <c r="S101" s="1386"/>
      <c r="T101" s="1386"/>
      <c r="U101" s="1386"/>
      <c r="V101" s="1386"/>
      <c r="W101" s="1386"/>
    </row>
    <row r="102" ht="17.25" customHeight="1">
      <c r="B102" s="1521" t="s">
        <v>1416</v>
      </c>
      <c r="C102" s="1525" t="s">
        <v>216</v>
      </c>
      <c r="D102" s="1498" t="s">
        <v>109</v>
      </c>
      <c r="H102" s="1524" t="s">
        <v>1330</v>
      </c>
      <c r="K102" s="44"/>
      <c r="L102" s="1386"/>
      <c r="M102" s="1386"/>
      <c r="N102" s="1386"/>
      <c r="O102" s="1386"/>
      <c r="P102" s="1386"/>
      <c r="Q102" s="1386"/>
      <c r="R102" s="1386"/>
      <c r="S102" s="1386"/>
      <c r="T102" s="1386"/>
      <c r="U102" s="1386"/>
      <c r="V102" s="1386"/>
      <c r="W102" s="1386"/>
    </row>
    <row r="103" ht="17.25" customHeight="1">
      <c r="A103" s="330"/>
      <c r="B103" s="1434" t="s">
        <v>1415</v>
      </c>
      <c r="C103" s="671" t="s">
        <v>253</v>
      </c>
      <c r="D103" s="1526" t="s">
        <v>260</v>
      </c>
      <c r="E103" s="1396"/>
      <c r="F103" s="1396"/>
      <c r="G103" s="1396"/>
      <c r="H103" s="1396"/>
      <c r="I103" s="1396"/>
      <c r="J103" s="1396"/>
      <c r="K103" s="111"/>
      <c r="L103" s="1386"/>
      <c r="M103" s="1386"/>
      <c r="N103" s="1386"/>
      <c r="O103" s="1386"/>
      <c r="P103" s="1386"/>
      <c r="Q103" s="1386"/>
      <c r="R103" s="1386"/>
      <c r="S103" s="1386"/>
      <c r="T103" s="1386"/>
      <c r="U103" s="1386"/>
      <c r="V103" s="1386"/>
      <c r="W103" s="1386"/>
    </row>
    <row r="104" ht="4.5" customHeight="1">
      <c r="A104" s="1384"/>
      <c r="B104" s="1384"/>
      <c r="C104" s="1384"/>
      <c r="D104" s="1384"/>
      <c r="E104" s="16"/>
      <c r="F104" s="16"/>
      <c r="G104" s="16"/>
      <c r="H104" s="16"/>
      <c r="I104" s="16"/>
      <c r="J104" s="16"/>
      <c r="K104" s="17"/>
      <c r="L104" s="1170"/>
      <c r="M104" s="809"/>
      <c r="N104" s="809"/>
      <c r="O104" s="809"/>
      <c r="P104" s="1386"/>
      <c r="Q104" s="1386"/>
      <c r="R104" s="1386"/>
      <c r="S104" s="1386"/>
      <c r="T104" s="1386"/>
      <c r="U104" s="1386"/>
      <c r="V104" s="1386"/>
      <c r="W104" s="1386"/>
    </row>
    <row r="105" ht="30.0" customHeight="1">
      <c r="A105" s="808"/>
      <c r="B105" s="808"/>
      <c r="C105" s="808"/>
      <c r="D105" s="808"/>
      <c r="E105" s="808"/>
      <c r="F105" s="1386"/>
      <c r="G105" s="1386"/>
      <c r="H105" s="1386"/>
      <c r="I105" s="1170"/>
      <c r="J105" s="1170"/>
      <c r="K105" s="1170"/>
      <c r="L105" s="809"/>
      <c r="M105" s="809"/>
      <c r="N105" s="809"/>
      <c r="O105" s="809"/>
      <c r="P105" s="1386"/>
      <c r="Q105" s="1386"/>
      <c r="R105" s="1386"/>
      <c r="S105" s="1386"/>
      <c r="T105" s="1386"/>
      <c r="U105" s="1386"/>
      <c r="V105" s="1386"/>
      <c r="W105" s="1386"/>
    </row>
    <row r="106" ht="4.5" customHeight="1">
      <c r="A106" s="1384"/>
      <c r="B106" s="1384"/>
      <c r="C106" s="1384"/>
      <c r="D106" s="1384"/>
      <c r="E106" s="1384"/>
      <c r="F106" s="1384"/>
      <c r="G106" s="1447"/>
      <c r="H106" s="1170"/>
      <c r="I106" s="1170"/>
      <c r="J106" s="1170"/>
      <c r="K106" s="1170"/>
      <c r="L106" s="1170"/>
      <c r="M106" s="809"/>
      <c r="N106" s="809"/>
      <c r="O106" s="809"/>
      <c r="P106" s="1386"/>
      <c r="Q106" s="1386"/>
      <c r="R106" s="1386"/>
      <c r="S106" s="1386"/>
      <c r="T106" s="1386"/>
      <c r="U106" s="1386"/>
      <c r="V106" s="1386"/>
      <c r="W106" s="1386"/>
    </row>
    <row r="107" ht="17.25" customHeight="1">
      <c r="A107" s="1506" t="s">
        <v>1455</v>
      </c>
      <c r="B107" s="1527" t="s">
        <v>1456</v>
      </c>
      <c r="C107" s="124"/>
      <c r="D107" s="1508">
        <v>43556.0</v>
      </c>
      <c r="E107" s="124"/>
      <c r="F107" s="124"/>
      <c r="G107" s="20"/>
      <c r="H107" s="1170"/>
      <c r="I107" s="1170"/>
      <c r="J107" s="1170"/>
      <c r="K107" s="1170"/>
      <c r="L107" s="809"/>
      <c r="M107" s="809"/>
      <c r="N107" s="809"/>
      <c r="O107" s="809"/>
      <c r="P107" s="1386"/>
      <c r="Q107" s="1386"/>
      <c r="R107" s="1386"/>
      <c r="S107" s="1386"/>
      <c r="T107" s="1386"/>
      <c r="U107" s="1386"/>
      <c r="V107" s="1386"/>
      <c r="W107" s="1386"/>
    </row>
    <row r="108" ht="17.25" customHeight="1">
      <c r="B108" s="1528" t="str">
        <f>HYPERLINK("https://docs.google.com/document/d/161FlQjLSZoI3HEgM6Jm34Bgi9ODB8a_gTIDKwVJunOI/edit","[ Regeerakkoord ''Bruggen Bouwen'' ]")</f>
        <v>[ Regeerakkoord ''Bruggen Bouwen'' ]</v>
      </c>
      <c r="C108" s="992"/>
      <c r="D108" s="43"/>
      <c r="G108" s="44"/>
      <c r="H108" s="1170"/>
      <c r="I108" s="1170"/>
      <c r="J108" s="1170"/>
      <c r="K108" s="1170"/>
      <c r="L108" s="809"/>
      <c r="M108" s="809"/>
      <c r="N108" s="809"/>
      <c r="O108" s="809"/>
      <c r="P108" s="1386"/>
      <c r="Q108" s="1386"/>
      <c r="R108" s="1386"/>
      <c r="S108" s="1386"/>
      <c r="T108" s="1386"/>
      <c r="U108" s="1386"/>
      <c r="V108" s="1386"/>
      <c r="W108" s="1386"/>
    </row>
    <row r="109" ht="4.5" customHeight="1">
      <c r="B109" s="1516"/>
      <c r="C109" s="1517"/>
      <c r="D109" s="26"/>
      <c r="E109" s="330"/>
      <c r="F109" s="330"/>
      <c r="G109" s="27"/>
      <c r="H109" s="1170"/>
      <c r="I109" s="1170"/>
      <c r="J109" s="1170"/>
      <c r="K109" s="1170"/>
      <c r="L109" s="809"/>
      <c r="M109" s="809"/>
      <c r="N109" s="809"/>
      <c r="O109" s="809"/>
      <c r="P109" s="1386"/>
      <c r="Q109" s="1386"/>
      <c r="R109" s="1386"/>
      <c r="S109" s="1386"/>
      <c r="T109" s="1386"/>
      <c r="U109" s="1386"/>
      <c r="V109" s="1386"/>
      <c r="W109" s="1386"/>
    </row>
    <row r="110" ht="17.25" customHeight="1">
      <c r="B110" s="1529" t="s">
        <v>1407</v>
      </c>
      <c r="C110" s="1530" t="s">
        <v>173</v>
      </c>
      <c r="D110" s="1498" t="s">
        <v>102</v>
      </c>
      <c r="G110" s="44"/>
      <c r="H110" s="1170"/>
      <c r="I110" s="809"/>
      <c r="J110" s="809"/>
      <c r="K110" s="809"/>
      <c r="L110" s="809"/>
      <c r="M110" s="809"/>
      <c r="N110" s="809"/>
      <c r="O110" s="809"/>
      <c r="P110" s="1386"/>
      <c r="Q110" s="1386"/>
      <c r="R110" s="1386"/>
      <c r="S110" s="1386"/>
      <c r="T110" s="1386"/>
      <c r="U110" s="1386"/>
      <c r="V110" s="1386"/>
      <c r="W110" s="1386"/>
    </row>
    <row r="111" ht="17.25" customHeight="1">
      <c r="B111" s="1427" t="s">
        <v>1451</v>
      </c>
      <c r="C111" s="1137"/>
      <c r="D111" s="1531" t="s">
        <v>16</v>
      </c>
      <c r="G111" s="44"/>
      <c r="H111" s="1170"/>
      <c r="I111" s="809"/>
      <c r="J111" s="809"/>
      <c r="K111" s="809"/>
      <c r="L111" s="809"/>
      <c r="M111" s="809"/>
      <c r="N111" s="809"/>
      <c r="O111" s="809"/>
      <c r="P111" s="1386"/>
      <c r="Q111" s="1386"/>
      <c r="R111" s="1386"/>
      <c r="S111" s="1386"/>
      <c r="T111" s="1386"/>
      <c r="U111" s="1386"/>
      <c r="V111" s="1386"/>
      <c r="W111" s="1386"/>
    </row>
    <row r="112" ht="4.5" customHeight="1">
      <c r="B112" s="1516"/>
      <c r="C112" s="1517"/>
      <c r="D112" s="1517"/>
      <c r="E112" s="1139"/>
      <c r="F112" s="1139"/>
      <c r="G112" s="1172"/>
      <c r="H112" s="1170"/>
      <c r="I112" s="809"/>
      <c r="J112" s="809"/>
      <c r="K112" s="809"/>
      <c r="L112" s="809"/>
      <c r="M112" s="809"/>
      <c r="N112" s="809"/>
      <c r="O112" s="809"/>
      <c r="P112" s="1386"/>
      <c r="Q112" s="1386"/>
      <c r="R112" s="1386"/>
      <c r="S112" s="1386"/>
      <c r="T112" s="1386"/>
      <c r="U112" s="1386"/>
      <c r="V112" s="1386"/>
      <c r="W112" s="1386"/>
    </row>
    <row r="113" ht="17.25" customHeight="1">
      <c r="B113" s="1521" t="s">
        <v>1410</v>
      </c>
      <c r="C113" s="1522" t="s">
        <v>247</v>
      </c>
      <c r="D113" s="1531" t="s">
        <v>16</v>
      </c>
      <c r="G113" s="44"/>
      <c r="H113" s="1170"/>
      <c r="I113" s="809"/>
      <c r="J113" s="809"/>
      <c r="K113" s="809"/>
      <c r="L113" s="809"/>
      <c r="M113" s="809"/>
      <c r="N113" s="809"/>
      <c r="O113" s="809"/>
      <c r="P113" s="1386"/>
      <c r="Q113" s="1386"/>
      <c r="R113" s="1386"/>
      <c r="S113" s="1386"/>
      <c r="T113" s="1386"/>
      <c r="U113" s="1386"/>
      <c r="V113" s="1386"/>
      <c r="W113" s="1386"/>
    </row>
    <row r="114" ht="17.25" customHeight="1">
      <c r="B114" s="1521" t="s">
        <v>1457</v>
      </c>
      <c r="C114" s="1522" t="s">
        <v>276</v>
      </c>
      <c r="D114" s="1498" t="s">
        <v>100</v>
      </c>
      <c r="G114" s="44"/>
      <c r="H114" s="1170"/>
      <c r="I114" s="809"/>
      <c r="J114" s="809"/>
      <c r="K114" s="809"/>
      <c r="L114" s="809"/>
      <c r="M114" s="809"/>
      <c r="N114" s="809"/>
      <c r="O114" s="809"/>
      <c r="P114" s="1386"/>
      <c r="Q114" s="1386"/>
      <c r="R114" s="1386"/>
      <c r="S114" s="1386"/>
      <c r="T114" s="1386"/>
      <c r="U114" s="1386"/>
      <c r="V114" s="1386"/>
      <c r="W114" s="1386"/>
    </row>
    <row r="115" ht="17.25" customHeight="1">
      <c r="B115" s="1521" t="s">
        <v>1452</v>
      </c>
      <c r="C115" s="1522" t="s">
        <v>218</v>
      </c>
      <c r="D115" s="1531" t="s">
        <v>282</v>
      </c>
      <c r="G115" s="44"/>
      <c r="H115" s="1170"/>
      <c r="I115" s="809"/>
      <c r="J115" s="809"/>
      <c r="K115" s="809"/>
      <c r="L115" s="809"/>
      <c r="M115" s="809"/>
      <c r="N115" s="809"/>
      <c r="O115" s="809"/>
      <c r="P115" s="1386"/>
      <c r="Q115" s="1386"/>
      <c r="R115" s="1386"/>
      <c r="S115" s="1386"/>
      <c r="T115" s="1386"/>
      <c r="U115" s="1386"/>
      <c r="V115" s="1386"/>
      <c r="W115" s="1386"/>
    </row>
    <row r="116" ht="17.25" customHeight="1">
      <c r="B116" s="1521" t="s">
        <v>1442</v>
      </c>
      <c r="C116" s="1522" t="s">
        <v>183</v>
      </c>
      <c r="D116" s="1531" t="s">
        <v>111</v>
      </c>
      <c r="G116" s="44"/>
      <c r="H116" s="1170"/>
      <c r="I116" s="809"/>
      <c r="J116" s="809"/>
      <c r="K116" s="809"/>
      <c r="L116" s="809"/>
      <c r="M116" s="809"/>
      <c r="N116" s="809"/>
      <c r="O116" s="809"/>
      <c r="P116" s="1386"/>
      <c r="Q116" s="1386"/>
      <c r="R116" s="1386"/>
      <c r="S116" s="1386"/>
      <c r="T116" s="1386"/>
      <c r="U116" s="1386"/>
      <c r="V116" s="1386"/>
      <c r="W116" s="1386"/>
    </row>
    <row r="117" ht="17.25" customHeight="1">
      <c r="B117" s="1521" t="s">
        <v>1458</v>
      </c>
      <c r="C117" s="1522" t="s">
        <v>253</v>
      </c>
      <c r="D117" s="1498" t="s">
        <v>109</v>
      </c>
      <c r="G117" s="44"/>
      <c r="H117" s="1170"/>
      <c r="I117" s="809"/>
      <c r="J117" s="809"/>
      <c r="K117" s="809"/>
      <c r="L117" s="809"/>
      <c r="M117" s="809"/>
      <c r="N117" s="809"/>
      <c r="O117" s="809"/>
      <c r="P117" s="1386"/>
      <c r="Q117" s="1386"/>
      <c r="R117" s="1386"/>
      <c r="S117" s="1386"/>
      <c r="T117" s="1386"/>
      <c r="U117" s="1386"/>
      <c r="V117" s="1386"/>
      <c r="W117" s="1386"/>
    </row>
    <row r="118" ht="17.25" customHeight="1">
      <c r="B118" s="1521" t="s">
        <v>1459</v>
      </c>
      <c r="C118" s="1522" t="s">
        <v>250</v>
      </c>
      <c r="D118" s="1531" t="s">
        <v>136</v>
      </c>
      <c r="G118" s="44"/>
      <c r="H118" s="1170"/>
      <c r="I118" s="809"/>
      <c r="J118" s="809"/>
      <c r="K118" s="809"/>
      <c r="L118" s="809"/>
      <c r="M118" s="809"/>
      <c r="N118" s="809"/>
      <c r="O118" s="809"/>
      <c r="P118" s="1386"/>
      <c r="Q118" s="1386"/>
      <c r="R118" s="1386"/>
      <c r="S118" s="1386"/>
      <c r="T118" s="1386"/>
      <c r="U118" s="1386"/>
      <c r="V118" s="1386"/>
      <c r="W118" s="1386"/>
    </row>
    <row r="119" ht="17.25" customHeight="1">
      <c r="B119" s="1532" t="s">
        <v>1416</v>
      </c>
      <c r="C119" s="1533" t="s">
        <v>216</v>
      </c>
      <c r="D119" s="1498" t="s">
        <v>206</v>
      </c>
      <c r="G119" s="44"/>
      <c r="H119" s="1170"/>
      <c r="I119" s="809"/>
      <c r="J119" s="809"/>
      <c r="K119" s="809"/>
      <c r="L119" s="809"/>
      <c r="M119" s="809"/>
      <c r="N119" s="809"/>
      <c r="O119" s="809"/>
      <c r="P119" s="1386"/>
      <c r="Q119" s="1386"/>
      <c r="R119" s="1386"/>
      <c r="S119" s="1386"/>
      <c r="T119" s="1386"/>
      <c r="U119" s="1386"/>
      <c r="V119" s="1386"/>
      <c r="W119" s="1386"/>
    </row>
    <row r="120" ht="4.5" customHeight="1">
      <c r="A120" s="1384"/>
      <c r="B120" s="1384"/>
      <c r="C120" s="1384"/>
      <c r="D120" s="1384"/>
      <c r="E120" s="1384"/>
      <c r="F120" s="1384"/>
      <c r="G120" s="1447"/>
      <c r="H120" s="809"/>
      <c r="I120" s="809"/>
      <c r="J120" s="809"/>
      <c r="K120" s="809"/>
      <c r="L120" s="809"/>
      <c r="M120" s="809"/>
      <c r="N120" s="809"/>
      <c r="O120" s="809"/>
      <c r="P120" s="1386"/>
      <c r="Q120" s="1386"/>
      <c r="R120" s="1386"/>
      <c r="S120" s="1386"/>
      <c r="T120" s="1386"/>
      <c r="U120" s="1386"/>
      <c r="V120" s="1386"/>
      <c r="W120" s="1386"/>
    </row>
    <row r="121" ht="30.0" customHeight="1">
      <c r="A121" s="808"/>
      <c r="B121" s="808"/>
      <c r="C121" s="808"/>
      <c r="D121" s="808"/>
      <c r="E121" s="808"/>
      <c r="F121" s="808"/>
      <c r="G121" s="808"/>
      <c r="H121" s="809"/>
      <c r="I121" s="809"/>
      <c r="J121" s="809"/>
      <c r="K121" s="809"/>
      <c r="L121" s="809"/>
      <c r="M121" s="809"/>
      <c r="N121" s="809"/>
      <c r="O121" s="809"/>
      <c r="P121" s="1386"/>
      <c r="Q121" s="1386"/>
      <c r="R121" s="1386"/>
      <c r="S121" s="1386"/>
      <c r="T121" s="1386"/>
      <c r="U121" s="1386"/>
      <c r="V121" s="1386"/>
      <c r="W121" s="1386"/>
    </row>
    <row r="122" ht="4.5" customHeight="1">
      <c r="A122" s="1384"/>
      <c r="B122" s="1384"/>
      <c r="C122" s="1384"/>
      <c r="D122" s="1384"/>
      <c r="E122" s="1384"/>
      <c r="F122" s="1384"/>
      <c r="G122" s="1384"/>
      <c r="H122" s="1384"/>
      <c r="I122" s="1384"/>
      <c r="J122" s="1384"/>
      <c r="K122" s="1447"/>
      <c r="L122" s="1170"/>
      <c r="M122" s="809"/>
      <c r="N122" s="809"/>
      <c r="O122" s="809"/>
      <c r="P122" s="1386"/>
      <c r="Q122" s="1386"/>
      <c r="R122" s="1386"/>
      <c r="S122" s="1386"/>
      <c r="T122" s="1386"/>
      <c r="U122" s="1386"/>
      <c r="V122" s="1386"/>
      <c r="W122" s="1386"/>
    </row>
    <row r="123" ht="17.25" customHeight="1">
      <c r="A123" s="1506" t="s">
        <v>1460</v>
      </c>
      <c r="B123" s="1527" t="s">
        <v>1461</v>
      </c>
      <c r="C123" s="124"/>
      <c r="D123" s="1508">
        <v>43497.0</v>
      </c>
      <c r="E123" s="124"/>
      <c r="F123" s="124"/>
      <c r="G123" s="20"/>
      <c r="H123" s="1508">
        <v>43525.0</v>
      </c>
      <c r="I123" s="124"/>
      <c r="J123" s="124"/>
      <c r="K123" s="20"/>
      <c r="L123" s="809"/>
      <c r="M123" s="809"/>
      <c r="N123" s="809"/>
      <c r="O123" s="809"/>
      <c r="P123" s="1386"/>
      <c r="Q123" s="1386"/>
      <c r="R123" s="1386"/>
      <c r="S123" s="1386"/>
      <c r="T123" s="1386"/>
      <c r="U123" s="1386"/>
      <c r="V123" s="1386"/>
      <c r="W123" s="1386"/>
    </row>
    <row r="124" ht="17.25" customHeight="1">
      <c r="B124" s="1528" t="str">
        <f>HYPERLINK("https://indd.adobe.com/view/b2740397-5e2b-4714-8162-fbc0e8295eaa","[ Regeerakkoord “Een nieuwe Morgen” ]")</f>
        <v>[ Regeerakkoord “Een nieuwe Morgen” ]</v>
      </c>
      <c r="C124" s="992"/>
      <c r="D124" s="43"/>
      <c r="G124" s="44"/>
      <c r="H124" s="43"/>
      <c r="K124" s="44"/>
      <c r="L124" s="809"/>
      <c r="M124" s="809"/>
      <c r="N124" s="809"/>
      <c r="O124" s="809"/>
      <c r="P124" s="1386"/>
      <c r="Q124" s="1386"/>
      <c r="R124" s="1386"/>
      <c r="S124" s="1386"/>
      <c r="T124" s="1386"/>
      <c r="U124" s="1386"/>
      <c r="V124" s="1386"/>
      <c r="W124" s="1386"/>
    </row>
    <row r="125" ht="4.5" customHeight="1">
      <c r="B125" s="1516"/>
      <c r="C125" s="1517"/>
      <c r="D125" s="26"/>
      <c r="E125" s="330"/>
      <c r="F125" s="330"/>
      <c r="G125" s="27"/>
      <c r="H125" s="26"/>
      <c r="I125" s="330"/>
      <c r="J125" s="330"/>
      <c r="K125" s="27"/>
      <c r="L125" s="809"/>
      <c r="M125" s="809"/>
      <c r="N125" s="809"/>
      <c r="O125" s="809"/>
      <c r="P125" s="1386"/>
      <c r="Q125" s="1386"/>
      <c r="R125" s="1386"/>
      <c r="S125" s="1386"/>
      <c r="T125" s="1386"/>
      <c r="U125" s="1386"/>
      <c r="V125" s="1386"/>
      <c r="W125" s="1386"/>
    </row>
    <row r="126" ht="17.25" customHeight="1">
      <c r="B126" s="1529" t="s">
        <v>1407</v>
      </c>
      <c r="C126" s="1530" t="s">
        <v>173</v>
      </c>
      <c r="D126" s="1498" t="s">
        <v>102</v>
      </c>
      <c r="K126" s="44"/>
      <c r="L126" s="1170"/>
      <c r="M126" s="809"/>
      <c r="N126" s="809"/>
      <c r="O126" s="809"/>
      <c r="P126" s="1386"/>
      <c r="Q126" s="1386"/>
      <c r="R126" s="1386"/>
      <c r="S126" s="1386"/>
      <c r="T126" s="1386"/>
      <c r="U126" s="1386"/>
      <c r="V126" s="1386"/>
      <c r="W126" s="1386"/>
    </row>
    <row r="127" ht="17.25" customHeight="1">
      <c r="B127" s="1427" t="s">
        <v>1408</v>
      </c>
      <c r="C127" s="1137"/>
      <c r="D127" s="1252" t="s">
        <v>1137</v>
      </c>
      <c r="K127" s="44"/>
      <c r="L127" s="1170"/>
      <c r="M127" s="809"/>
      <c r="N127" s="809"/>
      <c r="O127" s="809"/>
      <c r="P127" s="1386"/>
      <c r="Q127" s="1386"/>
      <c r="R127" s="1386"/>
      <c r="S127" s="1386"/>
      <c r="T127" s="1386"/>
      <c r="U127" s="1386"/>
      <c r="V127" s="1386"/>
      <c r="W127" s="1386"/>
    </row>
    <row r="128" ht="17.25" customHeight="1">
      <c r="B128" s="1427" t="s">
        <v>1409</v>
      </c>
      <c r="C128" s="1137"/>
      <c r="D128" s="1534" t="s">
        <v>1147</v>
      </c>
      <c r="F128" s="1535" t="s">
        <v>244</v>
      </c>
      <c r="K128" s="44"/>
      <c r="L128" s="1170"/>
      <c r="M128" s="809"/>
      <c r="N128" s="809"/>
      <c r="O128" s="809"/>
      <c r="P128" s="1386"/>
      <c r="Q128" s="1386"/>
      <c r="R128" s="1386"/>
      <c r="S128" s="1386"/>
      <c r="T128" s="1386"/>
      <c r="U128" s="1386"/>
      <c r="V128" s="1386"/>
      <c r="W128" s="1386"/>
    </row>
    <row r="129" ht="17.25" customHeight="1">
      <c r="B129" s="1427" t="s">
        <v>1441</v>
      </c>
      <c r="C129" s="1137"/>
      <c r="D129" s="1536" t="s">
        <v>172</v>
      </c>
      <c r="K129" s="44"/>
      <c r="L129" s="1170"/>
      <c r="M129" s="809"/>
      <c r="N129" s="809"/>
      <c r="O129" s="809"/>
      <c r="P129" s="1386"/>
      <c r="Q129" s="1386"/>
      <c r="R129" s="1386"/>
      <c r="S129" s="1386"/>
      <c r="T129" s="1386"/>
      <c r="U129" s="1386"/>
      <c r="V129" s="1386"/>
      <c r="W129" s="1386"/>
    </row>
    <row r="130" ht="4.5" customHeight="1">
      <c r="B130" s="1537"/>
      <c r="C130" s="1538"/>
      <c r="D130" s="1539"/>
      <c r="E130" s="1539"/>
      <c r="F130" s="1540"/>
      <c r="G130" s="1540"/>
      <c r="H130" s="1540"/>
      <c r="I130" s="1540"/>
      <c r="J130" s="1540"/>
      <c r="K130" s="1541"/>
      <c r="L130" s="1170"/>
      <c r="M130" s="809"/>
      <c r="N130" s="809"/>
      <c r="O130" s="809"/>
      <c r="P130" s="1386"/>
      <c r="Q130" s="1386"/>
      <c r="R130" s="1386"/>
      <c r="S130" s="1386"/>
      <c r="T130" s="1386"/>
      <c r="U130" s="1386"/>
      <c r="V130" s="1386"/>
      <c r="W130" s="1386"/>
    </row>
    <row r="131" ht="17.25" customHeight="1">
      <c r="B131" s="1521" t="s">
        <v>1462</v>
      </c>
      <c r="C131" s="1522" t="s">
        <v>221</v>
      </c>
      <c r="D131" s="1542" t="s">
        <v>1314</v>
      </c>
      <c r="K131" s="44"/>
      <c r="L131" s="1170"/>
      <c r="M131" s="809"/>
      <c r="N131" s="809"/>
      <c r="O131" s="809"/>
      <c r="P131" s="1386"/>
      <c r="Q131" s="1386"/>
      <c r="R131" s="1386"/>
      <c r="S131" s="1386"/>
      <c r="T131" s="1386"/>
      <c r="U131" s="1386"/>
      <c r="V131" s="1386"/>
      <c r="W131" s="1386"/>
    </row>
    <row r="132" ht="17.25" customHeight="1">
      <c r="B132" s="1521" t="s">
        <v>1442</v>
      </c>
      <c r="C132" s="1522" t="s">
        <v>183</v>
      </c>
      <c r="D132" s="1536" t="s">
        <v>172</v>
      </c>
      <c r="K132" s="44"/>
      <c r="L132" s="1170"/>
      <c r="M132" s="809"/>
      <c r="N132" s="809"/>
      <c r="O132" s="809"/>
      <c r="P132" s="1386"/>
      <c r="Q132" s="1386"/>
      <c r="R132" s="1386"/>
      <c r="S132" s="1386"/>
      <c r="T132" s="1386"/>
      <c r="U132" s="1386"/>
      <c r="V132" s="1386"/>
      <c r="W132" s="1386"/>
    </row>
    <row r="133" ht="17.25" customHeight="1">
      <c r="B133" s="1521" t="s">
        <v>1452</v>
      </c>
      <c r="C133" s="1522" t="s">
        <v>218</v>
      </c>
      <c r="D133" s="1498" t="s">
        <v>162</v>
      </c>
      <c r="K133" s="44"/>
      <c r="L133" s="1170"/>
      <c r="M133" s="809"/>
      <c r="N133" s="809"/>
      <c r="O133" s="809"/>
      <c r="P133" s="1386"/>
      <c r="Q133" s="1386"/>
      <c r="R133" s="1386"/>
      <c r="S133" s="1386"/>
      <c r="T133" s="1386"/>
      <c r="U133" s="1386"/>
      <c r="V133" s="1386"/>
      <c r="W133" s="1386"/>
    </row>
    <row r="134" ht="17.25" customHeight="1">
      <c r="B134" s="1521" t="s">
        <v>1463</v>
      </c>
      <c r="C134" s="1522" t="s">
        <v>186</v>
      </c>
      <c r="D134" s="1252" t="s">
        <v>1137</v>
      </c>
      <c r="K134" s="44"/>
      <c r="L134" s="1170"/>
      <c r="M134" s="809"/>
      <c r="N134" s="809"/>
      <c r="O134" s="809"/>
      <c r="P134" s="1386"/>
      <c r="Q134" s="1386"/>
      <c r="R134" s="1386"/>
      <c r="S134" s="1386"/>
      <c r="T134" s="1386"/>
      <c r="U134" s="1386"/>
      <c r="V134" s="1386"/>
      <c r="W134" s="1386"/>
    </row>
    <row r="135" ht="17.25" customHeight="1">
      <c r="B135" s="1521" t="s">
        <v>1464</v>
      </c>
      <c r="C135" s="1522" t="s">
        <v>236</v>
      </c>
      <c r="D135" s="1534" t="s">
        <v>1147</v>
      </c>
      <c r="F135" s="1535" t="s">
        <v>244</v>
      </c>
      <c r="K135" s="44"/>
      <c r="L135" s="1170"/>
      <c r="M135" s="809"/>
      <c r="N135" s="809"/>
      <c r="O135" s="809"/>
      <c r="P135" s="1386"/>
      <c r="Q135" s="1386"/>
      <c r="R135" s="1386"/>
      <c r="S135" s="1386"/>
      <c r="T135" s="1386"/>
      <c r="U135" s="1386"/>
      <c r="V135" s="1386"/>
      <c r="W135" s="1386"/>
    </row>
    <row r="136" ht="17.25" customHeight="1">
      <c r="B136" s="1521" t="s">
        <v>1465</v>
      </c>
      <c r="C136" s="1522" t="s">
        <v>224</v>
      </c>
      <c r="D136" s="1536" t="s">
        <v>201</v>
      </c>
      <c r="K136" s="44"/>
      <c r="L136" s="1170"/>
      <c r="M136" s="809"/>
      <c r="N136" s="809"/>
      <c r="O136" s="809"/>
      <c r="P136" s="1386"/>
      <c r="Q136" s="1386"/>
      <c r="R136" s="1386"/>
      <c r="S136" s="1386"/>
      <c r="T136" s="1386"/>
      <c r="U136" s="1386"/>
      <c r="V136" s="1386"/>
      <c r="W136" s="1386"/>
    </row>
    <row r="137" ht="17.25" customHeight="1">
      <c r="B137" s="1532" t="s">
        <v>1416</v>
      </c>
      <c r="C137" s="1533" t="s">
        <v>216</v>
      </c>
      <c r="D137" s="1498" t="s">
        <v>206</v>
      </c>
      <c r="K137" s="44"/>
      <c r="L137" s="1170"/>
      <c r="M137" s="809"/>
      <c r="N137" s="809"/>
      <c r="O137" s="809"/>
      <c r="P137" s="1386"/>
      <c r="Q137" s="1386"/>
      <c r="R137" s="1386"/>
      <c r="S137" s="1386"/>
      <c r="T137" s="1386"/>
      <c r="U137" s="1386"/>
      <c r="V137" s="1386"/>
      <c r="W137" s="1386"/>
    </row>
    <row r="138" ht="4.5" customHeight="1">
      <c r="A138" s="1384"/>
      <c r="B138" s="1384"/>
      <c r="C138" s="1384"/>
      <c r="D138" s="1384"/>
      <c r="E138" s="1384"/>
      <c r="F138" s="1384"/>
      <c r="G138" s="1384"/>
      <c r="H138" s="1384"/>
      <c r="I138" s="1384"/>
      <c r="J138" s="1384"/>
      <c r="K138" s="1447"/>
      <c r="L138" s="1170"/>
      <c r="M138" s="809"/>
      <c r="N138" s="809"/>
      <c r="O138" s="809"/>
      <c r="P138" s="1386"/>
      <c r="Q138" s="1386"/>
      <c r="R138" s="1386"/>
      <c r="S138" s="1386"/>
      <c r="T138" s="1386"/>
      <c r="U138" s="1386"/>
      <c r="V138" s="1386"/>
      <c r="W138" s="1386"/>
    </row>
    <row r="139" ht="30.0" customHeight="1">
      <c r="A139" s="808"/>
      <c r="B139" s="808"/>
      <c r="C139" s="808"/>
      <c r="D139" s="808"/>
      <c r="E139" s="808"/>
      <c r="F139" s="808"/>
      <c r="G139" s="808"/>
      <c r="H139" s="808"/>
      <c r="I139" s="808"/>
      <c r="J139" s="808"/>
      <c r="K139" s="808"/>
      <c r="L139" s="809"/>
      <c r="M139" s="809"/>
      <c r="N139" s="809"/>
      <c r="O139" s="809"/>
      <c r="P139" s="1386"/>
      <c r="Q139" s="1386"/>
      <c r="R139" s="1386"/>
      <c r="S139" s="1386"/>
      <c r="T139" s="1386"/>
      <c r="U139" s="1386"/>
      <c r="V139" s="1386"/>
      <c r="W139" s="1386"/>
    </row>
    <row r="140" ht="4.5" customHeight="1">
      <c r="A140" s="1384"/>
      <c r="B140" s="1384"/>
      <c r="C140" s="1384"/>
      <c r="D140" s="1384"/>
      <c r="E140" s="1384"/>
      <c r="F140" s="1384"/>
      <c r="G140" s="1384"/>
      <c r="H140" s="1384"/>
      <c r="I140" s="1384"/>
      <c r="J140" s="1384"/>
      <c r="K140" s="1384"/>
      <c r="L140" s="1384"/>
      <c r="M140" s="1384"/>
      <c r="N140" s="1384"/>
      <c r="O140" s="1447"/>
      <c r="P140" s="1386"/>
      <c r="Q140" s="1386"/>
      <c r="R140" s="1386"/>
      <c r="S140" s="1386"/>
      <c r="T140" s="1386"/>
      <c r="U140" s="1386"/>
      <c r="V140" s="1386"/>
      <c r="W140" s="1386"/>
    </row>
    <row r="141" ht="22.5" customHeight="1">
      <c r="A141" s="1543" t="s">
        <v>1466</v>
      </c>
      <c r="B141" s="1544" t="s">
        <v>1467</v>
      </c>
      <c r="C141" s="124"/>
      <c r="D141" s="1508">
        <v>43405.0</v>
      </c>
      <c r="E141" s="124"/>
      <c r="F141" s="124"/>
      <c r="G141" s="20"/>
      <c r="H141" s="1508">
        <v>43435.0</v>
      </c>
      <c r="I141" s="124"/>
      <c r="J141" s="124"/>
      <c r="K141" s="20"/>
      <c r="L141" s="1508">
        <v>43466.0</v>
      </c>
      <c r="M141" s="124"/>
      <c r="N141" s="124"/>
      <c r="O141" s="20"/>
      <c r="P141" s="1386"/>
      <c r="Q141" s="1386"/>
      <c r="R141" s="1386"/>
      <c r="S141" s="1386"/>
      <c r="T141" s="1386"/>
      <c r="U141" s="1386"/>
      <c r="V141" s="1386"/>
      <c r="W141" s="1386"/>
    </row>
    <row r="142" ht="17.25" customHeight="1">
      <c r="B142" s="1528" t="str">
        <f>HYPERLINK("https://drive.google.com/file/d/14ruRj1b7kUIpUTBMh5DsQdjWr4HuhunS/view","[ Regeerakkoord “Vernieuwing in Nederland” ]")</f>
        <v>[ Regeerakkoord “Vernieuwing in Nederland” ]</v>
      </c>
      <c r="C142" s="992"/>
      <c r="D142" s="43"/>
      <c r="G142" s="44"/>
      <c r="H142" s="43"/>
      <c r="K142" s="44"/>
      <c r="L142" s="43"/>
      <c r="O142" s="44"/>
      <c r="P142" s="1386"/>
      <c r="Q142" s="1386"/>
      <c r="R142" s="1386"/>
      <c r="S142" s="1386"/>
      <c r="T142" s="1386"/>
      <c r="U142" s="1386"/>
      <c r="V142" s="1386"/>
      <c r="W142" s="1386"/>
    </row>
    <row r="143" ht="4.5" customHeight="1">
      <c r="B143" s="1516"/>
      <c r="C143" s="1517"/>
      <c r="D143" s="26"/>
      <c r="E143" s="330"/>
      <c r="F143" s="330"/>
      <c r="G143" s="27"/>
      <c r="H143" s="26"/>
      <c r="I143" s="330"/>
      <c r="J143" s="330"/>
      <c r="K143" s="27"/>
      <c r="L143" s="26"/>
      <c r="M143" s="330"/>
      <c r="N143" s="330"/>
      <c r="O143" s="27"/>
      <c r="P143" s="1386"/>
      <c r="Q143" s="1386"/>
      <c r="R143" s="1386"/>
      <c r="S143" s="1386"/>
      <c r="T143" s="1386"/>
      <c r="U143" s="1386"/>
      <c r="V143" s="1386"/>
      <c r="W143" s="1386"/>
    </row>
    <row r="144" ht="17.25" customHeight="1">
      <c r="B144" s="1529" t="s">
        <v>1407</v>
      </c>
      <c r="C144" s="1530" t="s">
        <v>173</v>
      </c>
      <c r="D144" s="1545" t="s">
        <v>1137</v>
      </c>
      <c r="O144" s="44"/>
      <c r="P144" s="1386"/>
      <c r="Q144" s="1386"/>
      <c r="R144" s="1386"/>
      <c r="S144" s="1386"/>
      <c r="T144" s="1386"/>
      <c r="U144" s="1386"/>
      <c r="V144" s="1386"/>
      <c r="W144" s="1386"/>
    </row>
    <row r="145" ht="17.25" customHeight="1">
      <c r="B145" s="1427" t="s">
        <v>1408</v>
      </c>
      <c r="C145" s="1137"/>
      <c r="D145" s="1546" t="s">
        <v>1147</v>
      </c>
      <c r="N145" s="1547" t="s">
        <v>282</v>
      </c>
      <c r="O145" s="44"/>
      <c r="P145" s="1386"/>
      <c r="Q145" s="1386"/>
      <c r="R145" s="1386"/>
      <c r="S145" s="1386"/>
      <c r="T145" s="1386"/>
      <c r="U145" s="1386"/>
      <c r="V145" s="1386"/>
      <c r="W145" s="1386"/>
    </row>
    <row r="146" ht="17.25" customHeight="1">
      <c r="B146" s="1427" t="s">
        <v>1409</v>
      </c>
      <c r="C146" s="1137"/>
      <c r="D146" s="1547" t="s">
        <v>1155</v>
      </c>
      <c r="L146" s="1547" t="s">
        <v>282</v>
      </c>
      <c r="N146" s="1490" t="s">
        <v>1425</v>
      </c>
      <c r="O146" s="44"/>
      <c r="P146" s="1386"/>
      <c r="Q146" s="1386"/>
      <c r="R146" s="1386"/>
      <c r="S146" s="1386"/>
      <c r="T146" s="1386"/>
      <c r="U146" s="1386"/>
      <c r="V146" s="1386"/>
      <c r="W146" s="1386"/>
    </row>
    <row r="147" ht="17.25" customHeight="1">
      <c r="B147" s="1427" t="s">
        <v>1441</v>
      </c>
      <c r="C147" s="1137"/>
      <c r="D147" s="1098" t="s">
        <v>1157</v>
      </c>
      <c r="H147" s="1548" t="s">
        <v>176</v>
      </c>
      <c r="N147" s="1490" t="s">
        <v>1425</v>
      </c>
      <c r="O147" s="44"/>
      <c r="P147" s="1386"/>
      <c r="Q147" s="1386"/>
      <c r="R147" s="1386"/>
      <c r="S147" s="1386"/>
      <c r="T147" s="1386"/>
      <c r="U147" s="1386"/>
      <c r="V147" s="1386"/>
      <c r="W147" s="1386"/>
    </row>
    <row r="148" ht="4.5" customHeight="1">
      <c r="B148" s="1537"/>
      <c r="C148" s="1538"/>
      <c r="D148" s="1540"/>
      <c r="E148" s="1540"/>
      <c r="F148" s="1540"/>
      <c r="G148" s="1540"/>
      <c r="H148" s="1540"/>
      <c r="I148" s="1540"/>
      <c r="J148" s="1540"/>
      <c r="K148" s="1540"/>
      <c r="L148" s="1540"/>
      <c r="M148" s="1540"/>
      <c r="N148" s="1540"/>
      <c r="O148" s="1541"/>
      <c r="P148" s="1386"/>
      <c r="Q148" s="1386"/>
      <c r="R148" s="1386"/>
      <c r="S148" s="1386"/>
      <c r="T148" s="1386"/>
      <c r="U148" s="1386"/>
      <c r="V148" s="1386"/>
      <c r="W148" s="1386"/>
    </row>
    <row r="149" ht="17.25" customHeight="1">
      <c r="B149" s="1521" t="s">
        <v>1468</v>
      </c>
      <c r="C149" s="1522" t="s">
        <v>179</v>
      </c>
      <c r="D149" s="1547" t="s">
        <v>1155</v>
      </c>
      <c r="L149" s="1549" t="s">
        <v>109</v>
      </c>
      <c r="N149" s="1490" t="s">
        <v>1425</v>
      </c>
      <c r="O149" s="44"/>
      <c r="P149" s="1386"/>
      <c r="Q149" s="1386"/>
      <c r="R149" s="1386"/>
      <c r="S149" s="1386"/>
      <c r="T149" s="1386"/>
      <c r="U149" s="1386"/>
      <c r="V149" s="1386"/>
      <c r="W149" s="1386"/>
    </row>
    <row r="150" ht="17.25" customHeight="1">
      <c r="B150" s="1521" t="s">
        <v>1469</v>
      </c>
      <c r="C150" s="1522" t="s">
        <v>183</v>
      </c>
      <c r="D150" s="1098" t="s">
        <v>176</v>
      </c>
      <c r="N150" s="1490" t="s">
        <v>1425</v>
      </c>
      <c r="O150" s="44"/>
      <c r="P150" s="1386"/>
      <c r="Q150" s="1386"/>
      <c r="R150" s="1386"/>
      <c r="S150" s="1386"/>
      <c r="T150" s="1386"/>
      <c r="U150" s="1386"/>
      <c r="V150" s="1386"/>
      <c r="W150" s="1386"/>
    </row>
    <row r="151" ht="17.25" customHeight="1">
      <c r="B151" s="1521" t="s">
        <v>1470</v>
      </c>
      <c r="C151" s="1522" t="s">
        <v>203</v>
      </c>
      <c r="D151" s="1546" t="s">
        <v>1147</v>
      </c>
      <c r="N151" s="1490" t="s">
        <v>1425</v>
      </c>
      <c r="O151" s="44"/>
      <c r="P151" s="1386"/>
      <c r="Q151" s="1386"/>
      <c r="R151" s="1386"/>
      <c r="S151" s="1386"/>
      <c r="T151" s="1386"/>
      <c r="U151" s="1386"/>
      <c r="V151" s="1386"/>
      <c r="W151" s="1386"/>
    </row>
    <row r="152" ht="17.25" customHeight="1">
      <c r="B152" s="1521" t="s">
        <v>1463</v>
      </c>
      <c r="C152" s="1522" t="s">
        <v>186</v>
      </c>
      <c r="D152" s="1546" t="s">
        <v>252</v>
      </c>
      <c r="N152" s="1550" t="s">
        <v>252</v>
      </c>
      <c r="O152" s="44"/>
      <c r="P152" s="1386"/>
      <c r="Q152" s="1386"/>
      <c r="R152" s="1386"/>
      <c r="S152" s="1386"/>
      <c r="T152" s="1386"/>
      <c r="U152" s="1386"/>
      <c r="V152" s="1386"/>
      <c r="W152" s="1386"/>
    </row>
    <row r="153" ht="17.25" customHeight="1">
      <c r="B153" s="1521" t="s">
        <v>1444</v>
      </c>
      <c r="C153" s="1522" t="s">
        <v>177</v>
      </c>
      <c r="D153" s="1545" t="s">
        <v>249</v>
      </c>
      <c r="O153" s="44"/>
      <c r="P153" s="1386"/>
      <c r="Q153" s="1386"/>
      <c r="R153" s="1386"/>
      <c r="S153" s="1386"/>
      <c r="T153" s="1386"/>
      <c r="U153" s="1386"/>
      <c r="V153" s="1386"/>
      <c r="W153" s="1386"/>
    </row>
    <row r="154" ht="17.25" customHeight="1">
      <c r="B154" s="1521" t="s">
        <v>1471</v>
      </c>
      <c r="C154" s="1522" t="s">
        <v>600</v>
      </c>
      <c r="D154" s="1546" t="s">
        <v>1472</v>
      </c>
      <c r="N154" s="1490" t="s">
        <v>1425</v>
      </c>
      <c r="O154" s="44"/>
      <c r="P154" s="1386"/>
      <c r="Q154" s="1386"/>
      <c r="R154" s="1386"/>
      <c r="S154" s="1386"/>
      <c r="T154" s="1386"/>
      <c r="U154" s="1386"/>
      <c r="V154" s="1386"/>
      <c r="W154" s="1386"/>
    </row>
    <row r="155" ht="17.25" customHeight="1">
      <c r="B155" s="1521" t="s">
        <v>1473</v>
      </c>
      <c r="C155" s="1522" t="s">
        <v>164</v>
      </c>
      <c r="D155" s="1098" t="s">
        <v>1157</v>
      </c>
      <c r="H155" s="1551" t="s">
        <v>282</v>
      </c>
      <c r="O155" s="44"/>
      <c r="P155" s="1386"/>
      <c r="Q155" s="1386"/>
      <c r="R155" s="1386"/>
      <c r="S155" s="1386"/>
      <c r="T155" s="1386"/>
      <c r="U155" s="1386"/>
      <c r="V155" s="1386"/>
      <c r="W155" s="1386"/>
    </row>
    <row r="156" ht="17.25" customHeight="1">
      <c r="B156" s="1532" t="s">
        <v>1474</v>
      </c>
      <c r="C156" s="1533" t="s">
        <v>188</v>
      </c>
      <c r="D156" s="1547" t="s">
        <v>1475</v>
      </c>
      <c r="I156" s="1551" t="s">
        <v>136</v>
      </c>
      <c r="O156" s="44"/>
      <c r="P156" s="1386"/>
      <c r="Q156" s="1386"/>
      <c r="R156" s="1386"/>
      <c r="S156" s="1386"/>
      <c r="T156" s="1386"/>
      <c r="U156" s="1386"/>
      <c r="V156" s="1386"/>
      <c r="W156" s="1386"/>
    </row>
    <row r="157" ht="4.5" customHeight="1">
      <c r="A157" s="1552"/>
      <c r="B157" s="1553"/>
      <c r="C157" s="1553"/>
      <c r="D157" s="1553"/>
      <c r="E157" s="1553"/>
      <c r="F157" s="1553"/>
      <c r="G157" s="1553"/>
      <c r="H157" s="1553"/>
      <c r="I157" s="1553"/>
      <c r="J157" s="1553"/>
      <c r="K157" s="1553"/>
      <c r="L157" s="1553"/>
      <c r="M157" s="1553"/>
      <c r="N157" s="1553"/>
      <c r="O157" s="1554"/>
      <c r="P157" s="1386"/>
      <c r="Q157" s="1386"/>
      <c r="R157" s="1386"/>
      <c r="S157" s="1386"/>
      <c r="T157" s="1386"/>
      <c r="U157" s="1386"/>
      <c r="V157" s="1386"/>
      <c r="W157" s="1386"/>
    </row>
    <row r="158" ht="18.75" customHeight="1">
      <c r="A158" s="808"/>
      <c r="B158" s="808"/>
      <c r="C158" s="808"/>
      <c r="D158" s="808"/>
      <c r="E158" s="808"/>
      <c r="F158" s="808"/>
      <c r="G158" s="808"/>
      <c r="H158" s="808"/>
      <c r="I158" s="808"/>
      <c r="J158" s="808"/>
      <c r="K158" s="808"/>
      <c r="L158" s="808"/>
      <c r="M158" s="808"/>
      <c r="N158" s="808"/>
      <c r="O158" s="808"/>
      <c r="P158" s="1386"/>
      <c r="Q158" s="1386"/>
      <c r="R158" s="1386"/>
      <c r="S158" s="1386"/>
      <c r="T158" s="1386"/>
      <c r="U158" s="1386"/>
      <c r="V158" s="1386"/>
      <c r="W158" s="1386"/>
    </row>
    <row r="159" ht="48.0" customHeight="1">
      <c r="A159" s="1555" t="str">
        <f>HYPERLINK("https://docs.google.com/spreadsheets/d/1QqfHXFp2eF_sX1Vf8ggoeIvxp-W66m3i-4bI3OeFHg8/edit#gid=1198776702","[ Klik HIER voor alle pre-reset Kabinetten ]")</f>
        <v>[ Klik HIER voor alle pre-reset Kabinetten ]</v>
      </c>
      <c r="B159" s="1556"/>
      <c r="C159" s="1556"/>
      <c r="D159" s="1556"/>
      <c r="E159" s="1556"/>
      <c r="F159" s="1556"/>
      <c r="G159" s="1556"/>
      <c r="H159" s="1556"/>
      <c r="I159" s="1556"/>
      <c r="J159" s="1556"/>
      <c r="K159" s="1556"/>
      <c r="L159" s="1556"/>
      <c r="M159" s="1556"/>
      <c r="N159" s="1556"/>
      <c r="O159" s="1465"/>
      <c r="P159" s="1386"/>
      <c r="Q159" s="1386"/>
      <c r="R159" s="1386"/>
      <c r="S159" s="1386"/>
      <c r="T159" s="1386"/>
      <c r="U159" s="1386"/>
      <c r="V159" s="1386"/>
      <c r="W159" s="1386"/>
    </row>
  </sheetData>
  <mergeCells count="202">
    <mergeCell ref="D30:U30"/>
    <mergeCell ref="I31:U31"/>
    <mergeCell ref="B25:C25"/>
    <mergeCell ref="D25:I25"/>
    <mergeCell ref="J25:U25"/>
    <mergeCell ref="B26:U26"/>
    <mergeCell ref="J27:U27"/>
    <mergeCell ref="D28:U28"/>
    <mergeCell ref="D29:U29"/>
    <mergeCell ref="A20:O20"/>
    <mergeCell ref="P20:W20"/>
    <mergeCell ref="L21:O23"/>
    <mergeCell ref="P21:S23"/>
    <mergeCell ref="T21:W23"/>
    <mergeCell ref="D24:U24"/>
    <mergeCell ref="F17:J17"/>
    <mergeCell ref="D32:I32"/>
    <mergeCell ref="J32:L32"/>
    <mergeCell ref="M32:U32"/>
    <mergeCell ref="A33:U33"/>
    <mergeCell ref="A21:A32"/>
    <mergeCell ref="B21:C21"/>
    <mergeCell ref="D21:G23"/>
    <mergeCell ref="H21:K23"/>
    <mergeCell ref="B22:C22"/>
    <mergeCell ref="F15:J15"/>
    <mergeCell ref="F16:J16"/>
    <mergeCell ref="F8:J8"/>
    <mergeCell ref="F9:J9"/>
    <mergeCell ref="F11:J11"/>
    <mergeCell ref="F12:J12"/>
    <mergeCell ref="F13:J13"/>
    <mergeCell ref="F14:J14"/>
    <mergeCell ref="D1:W1"/>
    <mergeCell ref="A4:A17"/>
    <mergeCell ref="B4:C4"/>
    <mergeCell ref="D4:G6"/>
    <mergeCell ref="H4:K6"/>
    <mergeCell ref="B5:C5"/>
    <mergeCell ref="F7:J7"/>
    <mergeCell ref="D27:I27"/>
    <mergeCell ref="D31:H31"/>
    <mergeCell ref="A36:A48"/>
    <mergeCell ref="H36:K38"/>
    <mergeCell ref="L36:O38"/>
    <mergeCell ref="P36:S38"/>
    <mergeCell ref="D39:R39"/>
    <mergeCell ref="D36:G38"/>
    <mergeCell ref="B40:C40"/>
    <mergeCell ref="D52:G54"/>
    <mergeCell ref="H52:K54"/>
    <mergeCell ref="E55:K55"/>
    <mergeCell ref="E56:F56"/>
    <mergeCell ref="G56:H56"/>
    <mergeCell ref="B57:C57"/>
    <mergeCell ref="B71:C71"/>
    <mergeCell ref="B72:C72"/>
    <mergeCell ref="B75:C75"/>
    <mergeCell ref="B76:C76"/>
    <mergeCell ref="B77:C77"/>
    <mergeCell ref="A71:A87"/>
    <mergeCell ref="A91:A103"/>
    <mergeCell ref="A107:A119"/>
    <mergeCell ref="A123:A137"/>
    <mergeCell ref="A141:A156"/>
    <mergeCell ref="B36:C36"/>
    <mergeCell ref="B37:C37"/>
    <mergeCell ref="A52:A67"/>
    <mergeCell ref="B52:C52"/>
    <mergeCell ref="B53:C53"/>
    <mergeCell ref="B56:C56"/>
    <mergeCell ref="C86:C87"/>
    <mergeCell ref="B91:C91"/>
    <mergeCell ref="B92:C92"/>
    <mergeCell ref="B95:C95"/>
    <mergeCell ref="B107:C107"/>
    <mergeCell ref="B108:C108"/>
    <mergeCell ref="B111:C111"/>
    <mergeCell ref="B123:C123"/>
    <mergeCell ref="B146:C146"/>
    <mergeCell ref="B147:C147"/>
    <mergeCell ref="B124:C124"/>
    <mergeCell ref="B127:C127"/>
    <mergeCell ref="B128:C128"/>
    <mergeCell ref="B129:C129"/>
    <mergeCell ref="B141:C141"/>
    <mergeCell ref="B142:C142"/>
    <mergeCell ref="B145:C145"/>
    <mergeCell ref="D40:I40"/>
    <mergeCell ref="J40:R40"/>
    <mergeCell ref="B41:C41"/>
    <mergeCell ref="D41:R41"/>
    <mergeCell ref="D43:R43"/>
    <mergeCell ref="D44:I44"/>
    <mergeCell ref="J44:R44"/>
    <mergeCell ref="D45:R45"/>
    <mergeCell ref="D46:R46"/>
    <mergeCell ref="E47:R47"/>
    <mergeCell ref="D48:R48"/>
    <mergeCell ref="I56:K56"/>
    <mergeCell ref="E57:K57"/>
    <mergeCell ref="E59:F59"/>
    <mergeCell ref="H59:K59"/>
    <mergeCell ref="E60:K60"/>
    <mergeCell ref="E61:H61"/>
    <mergeCell ref="I61:K61"/>
    <mergeCell ref="E62:K62"/>
    <mergeCell ref="E63:K63"/>
    <mergeCell ref="E64:K64"/>
    <mergeCell ref="E65:H65"/>
    <mergeCell ref="I65:J65"/>
    <mergeCell ref="E66:J66"/>
    <mergeCell ref="E67:J67"/>
    <mergeCell ref="D128:E128"/>
    <mergeCell ref="F128:K128"/>
    <mergeCell ref="D129:K129"/>
    <mergeCell ref="D131:K131"/>
    <mergeCell ref="D132:K132"/>
    <mergeCell ref="D133:K133"/>
    <mergeCell ref="D134:K134"/>
    <mergeCell ref="D135:E135"/>
    <mergeCell ref="F135:K135"/>
    <mergeCell ref="D136:K136"/>
    <mergeCell ref="D137:K137"/>
    <mergeCell ref="D141:G143"/>
    <mergeCell ref="H141:K143"/>
    <mergeCell ref="L141:O143"/>
    <mergeCell ref="H147:M147"/>
    <mergeCell ref="N147:O147"/>
    <mergeCell ref="D144:O144"/>
    <mergeCell ref="D145:M145"/>
    <mergeCell ref="N145:O145"/>
    <mergeCell ref="D146:K146"/>
    <mergeCell ref="L146:M146"/>
    <mergeCell ref="N146:O146"/>
    <mergeCell ref="D147:G147"/>
    <mergeCell ref="D149:K149"/>
    <mergeCell ref="L149:M149"/>
    <mergeCell ref="N149:O149"/>
    <mergeCell ref="D150:M150"/>
    <mergeCell ref="N150:O150"/>
    <mergeCell ref="D151:M151"/>
    <mergeCell ref="N151:O151"/>
    <mergeCell ref="D156:H156"/>
    <mergeCell ref="I156:O156"/>
    <mergeCell ref="A159:O159"/>
    <mergeCell ref="D152:M152"/>
    <mergeCell ref="N152:O152"/>
    <mergeCell ref="D153:O153"/>
    <mergeCell ref="D154:M154"/>
    <mergeCell ref="N154:O154"/>
    <mergeCell ref="D155:G155"/>
    <mergeCell ref="H155:O155"/>
    <mergeCell ref="D71:G73"/>
    <mergeCell ref="H71:K73"/>
    <mergeCell ref="L71:O73"/>
    <mergeCell ref="D74:O74"/>
    <mergeCell ref="D75:O75"/>
    <mergeCell ref="D76:O76"/>
    <mergeCell ref="E77:O77"/>
    <mergeCell ref="D79:O79"/>
    <mergeCell ref="D80:O80"/>
    <mergeCell ref="D81:M81"/>
    <mergeCell ref="N81:O81"/>
    <mergeCell ref="D82:O82"/>
    <mergeCell ref="D83:O83"/>
    <mergeCell ref="D84:O84"/>
    <mergeCell ref="D85:O85"/>
    <mergeCell ref="E86:K86"/>
    <mergeCell ref="L86:O86"/>
    <mergeCell ref="D87:G87"/>
    <mergeCell ref="H87:O87"/>
    <mergeCell ref="D91:G93"/>
    <mergeCell ref="H91:K93"/>
    <mergeCell ref="D94:K94"/>
    <mergeCell ref="D95:K95"/>
    <mergeCell ref="D96:K96"/>
    <mergeCell ref="D97:K97"/>
    <mergeCell ref="D98:K98"/>
    <mergeCell ref="D99:K99"/>
    <mergeCell ref="D100:G100"/>
    <mergeCell ref="H100:K100"/>
    <mergeCell ref="D101:K101"/>
    <mergeCell ref="D102:G102"/>
    <mergeCell ref="H102:K102"/>
    <mergeCell ref="D103:K103"/>
    <mergeCell ref="D104:K104"/>
    <mergeCell ref="D107:G109"/>
    <mergeCell ref="D110:G110"/>
    <mergeCell ref="D111:G111"/>
    <mergeCell ref="D112:G112"/>
    <mergeCell ref="D113:G113"/>
    <mergeCell ref="D114:G114"/>
    <mergeCell ref="D115:G115"/>
    <mergeCell ref="D116:G116"/>
    <mergeCell ref="D117:G117"/>
    <mergeCell ref="D118:G118"/>
    <mergeCell ref="D119:G119"/>
    <mergeCell ref="D123:G125"/>
    <mergeCell ref="H123:K125"/>
    <mergeCell ref="D126:K126"/>
    <mergeCell ref="D127:K127"/>
  </mergeCells>
  <hyperlinks>
    <hyperlink r:id="rId2" ref="B5"/>
  </hyperlinks>
  <drawing r:id="rId3"/>
  <legacyDrawing r:id="rId4"/>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AA84F"/>
    <pageSetUpPr/>
  </sheetPr>
  <sheetViews>
    <sheetView showGridLines="0"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9.14"/>
    <col customWidth="1" min="2" max="5" width="14.43"/>
    <col customWidth="1" min="6" max="6" width="4.86"/>
    <col customWidth="1" min="7" max="7" width="14.43"/>
    <col customWidth="1" min="8" max="8" width="4.86"/>
    <col customWidth="1" min="9" max="9" width="14.43"/>
    <col customWidth="1" min="10" max="10" width="4.86"/>
    <col customWidth="1" min="11" max="11" width="14.43"/>
    <col customWidth="1" min="12" max="12" width="4.86"/>
    <col customWidth="1" min="13" max="13" width="14.43"/>
    <col customWidth="1" min="14" max="14" width="4.86"/>
    <col customWidth="1" min="15" max="15" width="14.43"/>
    <col customWidth="1" min="16" max="16" width="4.86"/>
    <col customWidth="1" min="17" max="17" width="14.43"/>
    <col customWidth="1" min="18" max="18" width="4.86"/>
    <col customWidth="1" min="19" max="19" width="18.0"/>
    <col customWidth="1" min="20" max="21" width="14.43"/>
    <col customWidth="1" min="22" max="22" width="4.86"/>
  </cols>
  <sheetData>
    <row r="1" ht="32.25" customHeight="1">
      <c r="A1" s="1557" t="s">
        <v>589</v>
      </c>
      <c r="B1" s="1558"/>
      <c r="C1" s="1557" t="s">
        <v>13</v>
      </c>
      <c r="D1" s="1558"/>
      <c r="E1" s="1559" t="s">
        <v>73</v>
      </c>
      <c r="F1" s="1560"/>
      <c r="G1" s="1560"/>
      <c r="H1" s="1558"/>
      <c r="I1" s="1559" t="s">
        <v>1476</v>
      </c>
      <c r="J1" s="1560"/>
      <c r="K1" s="1560"/>
      <c r="L1" s="1560"/>
      <c r="M1" s="1558"/>
      <c r="N1" s="1561"/>
      <c r="O1" s="1559" t="s">
        <v>582</v>
      </c>
      <c r="P1" s="1560"/>
      <c r="Q1" s="1558"/>
      <c r="R1" s="1562"/>
      <c r="S1" s="1563" t="s">
        <v>72</v>
      </c>
      <c r="T1" s="1564" t="s">
        <v>76</v>
      </c>
      <c r="U1" s="1565" t="s">
        <v>1477</v>
      </c>
      <c r="V1" s="1566"/>
    </row>
    <row r="2">
      <c r="A2" s="1567" t="s">
        <v>1478</v>
      </c>
      <c r="B2" s="1568"/>
      <c r="C2" s="1569" t="s">
        <v>1479</v>
      </c>
      <c r="D2" s="1570" t="s">
        <v>1480</v>
      </c>
      <c r="E2" s="1569" t="s">
        <v>1481</v>
      </c>
      <c r="F2" s="1569" t="s">
        <v>1482</v>
      </c>
      <c r="G2" s="1569" t="s">
        <v>166</v>
      </c>
      <c r="H2" s="1569" t="s">
        <v>1482</v>
      </c>
      <c r="I2" s="1571" t="s">
        <v>1481</v>
      </c>
      <c r="J2" s="1569" t="s">
        <v>1482</v>
      </c>
      <c r="K2" s="1569" t="s">
        <v>1483</v>
      </c>
      <c r="L2" s="1569" t="s">
        <v>1482</v>
      </c>
      <c r="M2" s="1569" t="s">
        <v>1484</v>
      </c>
      <c r="N2" s="1569" t="s">
        <v>1482</v>
      </c>
      <c r="O2" s="1571" t="s">
        <v>1481</v>
      </c>
      <c r="P2" s="1569" t="s">
        <v>1482</v>
      </c>
      <c r="Q2" s="1569" t="s">
        <v>166</v>
      </c>
      <c r="R2" s="1572" t="s">
        <v>1482</v>
      </c>
      <c r="S2" s="1573" t="s">
        <v>1481</v>
      </c>
      <c r="T2" s="1574" t="s">
        <v>1481</v>
      </c>
      <c r="U2" s="1571" t="s">
        <v>1481</v>
      </c>
      <c r="V2" s="1575" t="s">
        <v>1482</v>
      </c>
    </row>
    <row r="3">
      <c r="A3" s="1576" t="s">
        <v>1485</v>
      </c>
      <c r="B3" s="1577" t="s">
        <v>589</v>
      </c>
      <c r="C3" s="1578" t="s">
        <v>1486</v>
      </c>
      <c r="D3" s="1579">
        <v>2.0</v>
      </c>
      <c r="E3" s="1580" t="s">
        <v>118</v>
      </c>
      <c r="F3" s="1581"/>
      <c r="G3" s="1581"/>
      <c r="H3" s="1582"/>
      <c r="I3" s="1583">
        <v>23.0</v>
      </c>
      <c r="J3" s="1584">
        <f t="shared" ref="J3:J9" si="1">IF(I3 = "-", 0, ROUND(100*I3/SUM(I$3:I$11),0))</f>
        <v>47</v>
      </c>
      <c r="K3" s="1585">
        <v>22.0</v>
      </c>
      <c r="L3" s="1584">
        <f t="shared" ref="L3:L9" si="2">IF(K3 = "-", 0, ROUND(100*K3/SUM(K$3:K$11),0))</f>
        <v>58</v>
      </c>
      <c r="M3" s="1585">
        <v>20.0</v>
      </c>
      <c r="N3" s="1584">
        <f t="shared" ref="N3:N9" si="3">IF(M3 = "-", 0, ROUND(100*M3/SUM(M$3:M$11),0))</f>
        <v>57</v>
      </c>
      <c r="O3" s="1583">
        <v>3.0</v>
      </c>
      <c r="P3" s="1584">
        <f t="shared" ref="P3:P9" si="4">IF(O3 = "-", 0, ROUND(100*O3/SUM(O$3:O$11),0))</f>
        <v>30</v>
      </c>
      <c r="Q3" s="1585">
        <v>3.0</v>
      </c>
      <c r="R3" s="1584">
        <f t="shared" ref="R3:R9" si="5">IF(Q3 = "-", 0, ROUND(100*Q3/SUM(Q$3:Q$11),0))</f>
        <v>43</v>
      </c>
      <c r="S3" s="1586">
        <v>14.0</v>
      </c>
      <c r="T3" s="1587">
        <v>4.0</v>
      </c>
      <c r="U3" s="1588">
        <v>1.0</v>
      </c>
      <c r="V3" s="1589">
        <f t="shared" ref="V3:V9" si="6">IF(U3 = "-", 0, ROUND(100*U3/SUM(U$3:U$11),0))</f>
        <v>10</v>
      </c>
    </row>
    <row r="4">
      <c r="B4" s="1590" t="s">
        <v>15</v>
      </c>
      <c r="C4" s="1591" t="s">
        <v>1487</v>
      </c>
      <c r="D4" s="1592">
        <v>1.0</v>
      </c>
      <c r="E4" s="1593">
        <v>5.0</v>
      </c>
      <c r="F4" s="1594">
        <f t="shared" ref="F4:F9" si="7">IF(E4 = "-", 0, ROUND(100*E4/SUM(E$4:E$11),0))</f>
        <v>6</v>
      </c>
      <c r="G4" s="1593">
        <v>4.0</v>
      </c>
      <c r="H4" s="1594">
        <f t="shared" ref="H4:H9" si="8">IF(G4 = "-", 0, ROUND(100*G4/SUM(G$4:G$11),0))</f>
        <v>9</v>
      </c>
      <c r="I4" s="1595">
        <v>0.0</v>
      </c>
      <c r="J4" s="1594">
        <f t="shared" si="1"/>
        <v>0</v>
      </c>
      <c r="K4" s="1596" t="s">
        <v>61</v>
      </c>
      <c r="L4" s="1594">
        <f t="shared" si="2"/>
        <v>0</v>
      </c>
      <c r="M4" s="1596" t="s">
        <v>61</v>
      </c>
      <c r="N4" s="1594">
        <f t="shared" si="3"/>
        <v>0</v>
      </c>
      <c r="O4" s="1595">
        <v>0.0</v>
      </c>
      <c r="P4" s="1594">
        <f t="shared" si="4"/>
        <v>0</v>
      </c>
      <c r="Q4" s="1596" t="s">
        <v>61</v>
      </c>
      <c r="R4" s="1594">
        <f t="shared" si="5"/>
        <v>0</v>
      </c>
      <c r="S4" s="1597" t="s">
        <v>118</v>
      </c>
      <c r="T4" s="1597" t="s">
        <v>118</v>
      </c>
      <c r="U4" s="1598">
        <v>4.0</v>
      </c>
      <c r="V4" s="1599">
        <f t="shared" si="6"/>
        <v>40</v>
      </c>
    </row>
    <row r="5">
      <c r="B5" s="1600" t="s">
        <v>24</v>
      </c>
      <c r="C5" s="1601">
        <v>6.0</v>
      </c>
      <c r="D5" s="1602">
        <v>1.0</v>
      </c>
      <c r="E5" s="1603">
        <v>14.0</v>
      </c>
      <c r="F5" s="1604">
        <f t="shared" si="7"/>
        <v>18</v>
      </c>
      <c r="G5" s="1603">
        <v>11.0</v>
      </c>
      <c r="H5" s="1604">
        <f t="shared" si="8"/>
        <v>24</v>
      </c>
      <c r="I5" s="1605">
        <v>6.0</v>
      </c>
      <c r="J5" s="1604">
        <f t="shared" si="1"/>
        <v>12</v>
      </c>
      <c r="K5" s="1606">
        <v>5.0</v>
      </c>
      <c r="L5" s="1604">
        <f t="shared" si="2"/>
        <v>13</v>
      </c>
      <c r="M5" s="1606">
        <v>5.0</v>
      </c>
      <c r="N5" s="1604">
        <f t="shared" si="3"/>
        <v>14</v>
      </c>
      <c r="O5" s="1605">
        <v>0.0</v>
      </c>
      <c r="P5" s="1604">
        <f t="shared" si="4"/>
        <v>0</v>
      </c>
      <c r="Q5" s="1606" t="s">
        <v>61</v>
      </c>
      <c r="R5" s="1604">
        <f t="shared" si="5"/>
        <v>0</v>
      </c>
      <c r="S5" s="1607" t="s">
        <v>118</v>
      </c>
      <c r="T5" s="1607" t="s">
        <v>118</v>
      </c>
      <c r="U5" s="1608">
        <v>2.0</v>
      </c>
      <c r="V5" s="1609">
        <f t="shared" si="6"/>
        <v>20</v>
      </c>
    </row>
    <row r="6">
      <c r="B6" s="1610" t="s">
        <v>31</v>
      </c>
      <c r="C6" s="1591">
        <v>5.0</v>
      </c>
      <c r="D6" s="1592">
        <v>1.0</v>
      </c>
      <c r="E6" s="1611">
        <v>18.0</v>
      </c>
      <c r="F6" s="1612">
        <f t="shared" si="7"/>
        <v>23</v>
      </c>
      <c r="G6" s="1611">
        <v>10.0</v>
      </c>
      <c r="H6" s="1612">
        <f t="shared" si="8"/>
        <v>22</v>
      </c>
      <c r="I6" s="1595">
        <v>4.0</v>
      </c>
      <c r="J6" s="1612">
        <f t="shared" si="1"/>
        <v>8</v>
      </c>
      <c r="K6" s="1596">
        <v>2.0</v>
      </c>
      <c r="L6" s="1612">
        <f t="shared" si="2"/>
        <v>5</v>
      </c>
      <c r="M6" s="1596">
        <v>2.0</v>
      </c>
      <c r="N6" s="1612">
        <f t="shared" si="3"/>
        <v>6</v>
      </c>
      <c r="O6" s="1595">
        <v>2.0</v>
      </c>
      <c r="P6" s="1612">
        <f t="shared" si="4"/>
        <v>20</v>
      </c>
      <c r="Q6" s="1596">
        <v>1.0</v>
      </c>
      <c r="R6" s="1612">
        <f t="shared" si="5"/>
        <v>14</v>
      </c>
      <c r="S6" s="1613" t="s">
        <v>118</v>
      </c>
      <c r="T6" s="1613" t="s">
        <v>118</v>
      </c>
      <c r="U6" s="1598">
        <v>0.0</v>
      </c>
      <c r="V6" s="1614">
        <f t="shared" si="6"/>
        <v>0</v>
      </c>
    </row>
    <row r="7">
      <c r="B7" s="1615" t="s">
        <v>36</v>
      </c>
      <c r="C7" s="1591" t="s">
        <v>1488</v>
      </c>
      <c r="D7" s="1592">
        <v>1.0</v>
      </c>
      <c r="E7" s="1593">
        <v>24.0</v>
      </c>
      <c r="F7" s="1594">
        <f t="shared" si="7"/>
        <v>31</v>
      </c>
      <c r="G7" s="1593">
        <v>8.0</v>
      </c>
      <c r="H7" s="1594">
        <f t="shared" si="8"/>
        <v>18</v>
      </c>
      <c r="I7" s="1595">
        <v>13.0</v>
      </c>
      <c r="J7" s="1594">
        <f t="shared" si="1"/>
        <v>27</v>
      </c>
      <c r="K7" s="1596">
        <v>6.0</v>
      </c>
      <c r="L7" s="1594">
        <f t="shared" si="2"/>
        <v>16</v>
      </c>
      <c r="M7" s="1596">
        <v>5.0</v>
      </c>
      <c r="N7" s="1594">
        <f t="shared" si="3"/>
        <v>14</v>
      </c>
      <c r="O7" s="1595">
        <v>4.0</v>
      </c>
      <c r="P7" s="1594">
        <f t="shared" si="4"/>
        <v>40</v>
      </c>
      <c r="Q7" s="1596">
        <v>3.0</v>
      </c>
      <c r="R7" s="1594">
        <f t="shared" si="5"/>
        <v>43</v>
      </c>
      <c r="S7" s="1597" t="s">
        <v>118</v>
      </c>
      <c r="T7" s="1597" t="s">
        <v>118</v>
      </c>
      <c r="U7" s="1598">
        <v>1.0</v>
      </c>
      <c r="V7" s="1599">
        <f t="shared" si="6"/>
        <v>10</v>
      </c>
    </row>
    <row r="8">
      <c r="B8" s="1616" t="s">
        <v>47</v>
      </c>
      <c r="C8" s="1591" t="s">
        <v>1489</v>
      </c>
      <c r="D8" s="1592">
        <v>0.0</v>
      </c>
      <c r="E8" s="1593">
        <v>14.0</v>
      </c>
      <c r="F8" s="1594">
        <f t="shared" si="7"/>
        <v>18</v>
      </c>
      <c r="G8" s="1593">
        <v>11.0</v>
      </c>
      <c r="H8" s="1594">
        <f t="shared" si="8"/>
        <v>24</v>
      </c>
      <c r="I8" s="1595">
        <v>1.0</v>
      </c>
      <c r="J8" s="1594">
        <f t="shared" si="1"/>
        <v>2</v>
      </c>
      <c r="K8" s="1596">
        <v>1.0</v>
      </c>
      <c r="L8" s="1594">
        <f t="shared" si="2"/>
        <v>3</v>
      </c>
      <c r="M8" s="1596">
        <v>1.0</v>
      </c>
      <c r="N8" s="1594">
        <f t="shared" si="3"/>
        <v>3</v>
      </c>
      <c r="O8" s="1595">
        <v>1.0</v>
      </c>
      <c r="P8" s="1594">
        <f t="shared" si="4"/>
        <v>10</v>
      </c>
      <c r="Q8" s="1596">
        <v>0.0</v>
      </c>
      <c r="R8" s="1594">
        <f t="shared" si="5"/>
        <v>0</v>
      </c>
      <c r="S8" s="1597" t="s">
        <v>118</v>
      </c>
      <c r="T8" s="1597" t="s">
        <v>118</v>
      </c>
      <c r="U8" s="1598">
        <v>1.0</v>
      </c>
      <c r="V8" s="1599">
        <f t="shared" si="6"/>
        <v>10</v>
      </c>
    </row>
    <row r="9">
      <c r="B9" s="1617" t="s">
        <v>115</v>
      </c>
      <c r="C9" s="1591">
        <v>1.0</v>
      </c>
      <c r="D9" s="1592">
        <v>0.0</v>
      </c>
      <c r="E9" s="1593">
        <v>2.0</v>
      </c>
      <c r="F9" s="1594">
        <f t="shared" si="7"/>
        <v>3</v>
      </c>
      <c r="G9" s="1593">
        <v>1.0</v>
      </c>
      <c r="H9" s="1594">
        <f t="shared" si="8"/>
        <v>2</v>
      </c>
      <c r="I9" s="1595">
        <v>2.0</v>
      </c>
      <c r="J9" s="1594">
        <f t="shared" si="1"/>
        <v>4</v>
      </c>
      <c r="K9" s="1596">
        <v>2.0</v>
      </c>
      <c r="L9" s="1594">
        <f t="shared" si="2"/>
        <v>5</v>
      </c>
      <c r="M9" s="1596">
        <v>2.0</v>
      </c>
      <c r="N9" s="1594">
        <f t="shared" si="3"/>
        <v>6</v>
      </c>
      <c r="O9" s="1595">
        <v>0.0</v>
      </c>
      <c r="P9" s="1594">
        <f t="shared" si="4"/>
        <v>0</v>
      </c>
      <c r="Q9" s="1596" t="s">
        <v>61</v>
      </c>
      <c r="R9" s="1594">
        <f t="shared" si="5"/>
        <v>0</v>
      </c>
      <c r="S9" s="1597" t="s">
        <v>118</v>
      </c>
      <c r="T9" s="1597" t="s">
        <v>118</v>
      </c>
      <c r="U9" s="1598">
        <v>1.0</v>
      </c>
      <c r="V9" s="1599">
        <f t="shared" si="6"/>
        <v>10</v>
      </c>
    </row>
    <row r="10">
      <c r="B10" s="1618" t="s">
        <v>1490</v>
      </c>
      <c r="C10" s="1619"/>
      <c r="D10" s="1620"/>
      <c r="E10" s="1621"/>
      <c r="F10" s="1594"/>
      <c r="G10" s="1621"/>
      <c r="H10" s="1594"/>
      <c r="I10" s="1622"/>
      <c r="J10" s="1623"/>
      <c r="K10" s="1624"/>
      <c r="L10" s="1623"/>
      <c r="M10" s="1624"/>
      <c r="N10" s="1623"/>
      <c r="O10" s="1622"/>
      <c r="P10" s="1594"/>
      <c r="Q10" s="1624"/>
      <c r="R10" s="1594"/>
      <c r="S10" s="1625"/>
      <c r="T10" s="1626"/>
      <c r="U10" s="1627"/>
      <c r="V10" s="1599"/>
    </row>
    <row r="11">
      <c r="B11" s="1628" t="s">
        <v>60</v>
      </c>
      <c r="C11" s="1591">
        <v>0.0</v>
      </c>
      <c r="D11" s="1592">
        <v>0.0</v>
      </c>
      <c r="E11" s="1593">
        <v>0.0</v>
      </c>
      <c r="F11" s="1594">
        <f>IF(E11 = "-", 0, ROUND(100*E11/SUM(E$4:E$11),0))</f>
        <v>0</v>
      </c>
      <c r="G11" s="1593" t="s">
        <v>61</v>
      </c>
      <c r="H11" s="1629" t="s">
        <v>61</v>
      </c>
      <c r="I11" s="1595">
        <v>0.0</v>
      </c>
      <c r="J11" s="1630">
        <v>0.0</v>
      </c>
      <c r="K11" s="1596" t="s">
        <v>61</v>
      </c>
      <c r="L11" s="1630">
        <v>0.0</v>
      </c>
      <c r="M11" s="1596" t="s">
        <v>61</v>
      </c>
      <c r="N11" s="1630">
        <v>0.0</v>
      </c>
      <c r="O11" s="1595">
        <v>0.0</v>
      </c>
      <c r="P11" s="1594">
        <f>IF(O11 = "-", 0, ROUND(100*O11/SUM(O$3:O$11),0))</f>
        <v>0</v>
      </c>
      <c r="Q11" s="1596" t="s">
        <v>61</v>
      </c>
      <c r="R11" s="1594">
        <f>IF(Q11 = "-", 0, ROUND(100*Q11/SUM(Q$3:Q$11),0))</f>
        <v>0</v>
      </c>
      <c r="S11" s="1597" t="s">
        <v>118</v>
      </c>
      <c r="T11" s="1597" t="s">
        <v>118</v>
      </c>
      <c r="U11" s="1598">
        <v>0.0</v>
      </c>
      <c r="V11" s="1599">
        <f>IF(U11 = "-", 0, ROUND(100*U11/SUM(U$3:U$11),0))</f>
        <v>0</v>
      </c>
    </row>
    <row r="12">
      <c r="A12" s="1631" t="s">
        <v>106</v>
      </c>
      <c r="B12" s="1632" t="s">
        <v>589</v>
      </c>
      <c r="C12" s="1633">
        <v>14.0</v>
      </c>
      <c r="D12" s="1634">
        <v>3.0</v>
      </c>
      <c r="E12" s="1580" t="s">
        <v>118</v>
      </c>
      <c r="F12" s="1581"/>
      <c r="G12" s="1581"/>
      <c r="H12" s="1582"/>
      <c r="I12" s="1635">
        <v>14.0</v>
      </c>
      <c r="J12" s="1584">
        <f t="shared" ref="J12:J19" si="9">IF(I12 = "-", 0, ROUND(100*I12/SUM(I$12:I$19),0))</f>
        <v>67</v>
      </c>
      <c r="K12" s="1636">
        <v>12.0</v>
      </c>
      <c r="L12" s="1584">
        <f t="shared" ref="L12:L19" si="10">IF(K12 = "-", 0, ROUND(100*K12/SUM(K$12:K$19),0))</f>
        <v>71</v>
      </c>
      <c r="M12" s="1636">
        <v>12.0</v>
      </c>
      <c r="N12" s="1584">
        <f t="shared" ref="N12:N19" si="11">IF(M12 = "-", 0, ROUND(100*M12/SUM(M$12:M$19),0))</f>
        <v>71</v>
      </c>
      <c r="O12" s="1635">
        <v>0.0</v>
      </c>
      <c r="P12" s="1584">
        <f t="shared" ref="P12:P19" si="12">IF(O12 = "-", 0, ROUND(100*O12/SUM(O$12:O$19),0))</f>
        <v>0</v>
      </c>
      <c r="Q12" s="1636" t="s">
        <v>61</v>
      </c>
      <c r="R12" s="1584">
        <f t="shared" ref="R12:R19" si="13">IF(Q12 = "-", 0, ROUND(100*Q12/SUM(Q$12:Q$19),0))</f>
        <v>0</v>
      </c>
      <c r="S12" s="1635">
        <v>7.0</v>
      </c>
      <c r="T12" s="1637">
        <v>4.0</v>
      </c>
      <c r="U12" s="1636">
        <v>2.0</v>
      </c>
      <c r="V12" s="1589">
        <f t="shared" ref="V12:V19" si="14">IF(U12 = "-", 0, ROUND(100*U12/SUM(U$12:U$19),0))</f>
        <v>40</v>
      </c>
    </row>
    <row r="13">
      <c r="A13" s="1638"/>
      <c r="B13" s="1639" t="s">
        <v>36</v>
      </c>
      <c r="C13" s="1619">
        <v>7.0</v>
      </c>
      <c r="D13" s="1640">
        <v>1.0</v>
      </c>
      <c r="E13" s="1621">
        <v>2.0</v>
      </c>
      <c r="F13" s="1594">
        <f t="shared" ref="F13:F19" si="15">IF(E13 = "-", 0, ROUND(100*E13/SUM(E$13:E$19),0))</f>
        <v>12</v>
      </c>
      <c r="G13" s="1621">
        <v>0.0</v>
      </c>
      <c r="H13" s="1594">
        <f t="shared" ref="H13:H19" si="16">IF(G13 = "-", 0, ROUND(100*G13/SUM(G$13:G$19),0))</f>
        <v>0</v>
      </c>
      <c r="I13" s="1641">
        <v>2.0</v>
      </c>
      <c r="J13" s="1594">
        <f t="shared" si="9"/>
        <v>10</v>
      </c>
      <c r="K13" s="1621">
        <v>1.0</v>
      </c>
      <c r="L13" s="1594">
        <f t="shared" si="10"/>
        <v>6</v>
      </c>
      <c r="M13" s="1621">
        <v>1.0</v>
      </c>
      <c r="N13" s="1594">
        <f t="shared" si="11"/>
        <v>6</v>
      </c>
      <c r="O13" s="1641">
        <v>0.0</v>
      </c>
      <c r="P13" s="1594">
        <f t="shared" si="12"/>
        <v>0</v>
      </c>
      <c r="Q13" s="1621" t="s">
        <v>61</v>
      </c>
      <c r="R13" s="1594">
        <f t="shared" si="13"/>
        <v>0</v>
      </c>
      <c r="S13" s="1597" t="s">
        <v>118</v>
      </c>
      <c r="T13" s="1642" t="s">
        <v>118</v>
      </c>
      <c r="U13" s="1621">
        <v>1.0</v>
      </c>
      <c r="V13" s="1599">
        <f t="shared" si="14"/>
        <v>20</v>
      </c>
    </row>
    <row r="14">
      <c r="A14" s="1638"/>
      <c r="B14" s="1643" t="s">
        <v>375</v>
      </c>
      <c r="C14" s="1619">
        <v>4.0</v>
      </c>
      <c r="D14" s="1640">
        <v>1.0</v>
      </c>
      <c r="E14" s="1621">
        <v>0.0</v>
      </c>
      <c r="F14" s="1594">
        <f t="shared" si="15"/>
        <v>0</v>
      </c>
      <c r="G14" s="1621" t="s">
        <v>61</v>
      </c>
      <c r="H14" s="1594">
        <f t="shared" si="16"/>
        <v>0</v>
      </c>
      <c r="I14" s="1641">
        <v>0.0</v>
      </c>
      <c r="J14" s="1594">
        <f t="shared" si="9"/>
        <v>0</v>
      </c>
      <c r="K14" s="1621" t="s">
        <v>61</v>
      </c>
      <c r="L14" s="1594">
        <f t="shared" si="10"/>
        <v>0</v>
      </c>
      <c r="M14" s="1621" t="s">
        <v>61</v>
      </c>
      <c r="N14" s="1594">
        <f t="shared" si="11"/>
        <v>0</v>
      </c>
      <c r="O14" s="1641">
        <v>0.0</v>
      </c>
      <c r="P14" s="1594">
        <f t="shared" si="12"/>
        <v>0</v>
      </c>
      <c r="Q14" s="1621" t="s">
        <v>61</v>
      </c>
      <c r="R14" s="1594">
        <f t="shared" si="13"/>
        <v>0</v>
      </c>
      <c r="S14" s="1597" t="s">
        <v>118</v>
      </c>
      <c r="T14" s="1642" t="s">
        <v>118</v>
      </c>
      <c r="U14" s="1621">
        <v>1.0</v>
      </c>
      <c r="V14" s="1599">
        <f t="shared" si="14"/>
        <v>20</v>
      </c>
    </row>
    <row r="15">
      <c r="A15" s="1638"/>
      <c r="B15" s="1644" t="s">
        <v>24</v>
      </c>
      <c r="C15" s="1645">
        <v>3.0</v>
      </c>
      <c r="D15" s="1646">
        <v>1.0</v>
      </c>
      <c r="E15" s="1647">
        <v>1.0</v>
      </c>
      <c r="F15" s="1604">
        <f t="shared" si="15"/>
        <v>6</v>
      </c>
      <c r="G15" s="1647">
        <v>1.0</v>
      </c>
      <c r="H15" s="1604">
        <f t="shared" si="16"/>
        <v>8</v>
      </c>
      <c r="I15" s="1648">
        <v>1.0</v>
      </c>
      <c r="J15" s="1604">
        <f t="shared" si="9"/>
        <v>5</v>
      </c>
      <c r="K15" s="1647">
        <v>1.0</v>
      </c>
      <c r="L15" s="1604">
        <f t="shared" si="10"/>
        <v>6</v>
      </c>
      <c r="M15" s="1647">
        <v>1.0</v>
      </c>
      <c r="N15" s="1604">
        <f t="shared" si="11"/>
        <v>6</v>
      </c>
      <c r="O15" s="1648">
        <v>1.0</v>
      </c>
      <c r="P15" s="1604">
        <f t="shared" si="12"/>
        <v>25</v>
      </c>
      <c r="Q15" s="1647">
        <v>1.0</v>
      </c>
      <c r="R15" s="1604">
        <f t="shared" si="13"/>
        <v>50</v>
      </c>
      <c r="S15" s="1607" t="s">
        <v>118</v>
      </c>
      <c r="T15" s="1649" t="s">
        <v>118</v>
      </c>
      <c r="U15" s="1647">
        <v>0.0</v>
      </c>
      <c r="V15" s="1609">
        <f t="shared" si="14"/>
        <v>0</v>
      </c>
    </row>
    <row r="16">
      <c r="A16" s="1638"/>
      <c r="B16" s="1610" t="s">
        <v>31</v>
      </c>
      <c r="C16" s="1619">
        <v>5.0</v>
      </c>
      <c r="D16" s="1650">
        <v>1.0</v>
      </c>
      <c r="E16" s="1651">
        <v>10.0</v>
      </c>
      <c r="F16" s="1612">
        <f t="shared" si="15"/>
        <v>59</v>
      </c>
      <c r="G16" s="1651">
        <v>9.0</v>
      </c>
      <c r="H16" s="1612">
        <f t="shared" si="16"/>
        <v>75</v>
      </c>
      <c r="I16" s="1652">
        <v>2.0</v>
      </c>
      <c r="J16" s="1612">
        <f t="shared" si="9"/>
        <v>10</v>
      </c>
      <c r="K16" s="1651">
        <v>1.0</v>
      </c>
      <c r="L16" s="1612">
        <f t="shared" si="10"/>
        <v>6</v>
      </c>
      <c r="M16" s="1651">
        <v>1.0</v>
      </c>
      <c r="N16" s="1612">
        <f t="shared" si="11"/>
        <v>6</v>
      </c>
      <c r="O16" s="1652">
        <v>3.0</v>
      </c>
      <c r="P16" s="1612">
        <f t="shared" si="12"/>
        <v>75</v>
      </c>
      <c r="Q16" s="1651">
        <v>1.0</v>
      </c>
      <c r="R16" s="1612">
        <f t="shared" si="13"/>
        <v>50</v>
      </c>
      <c r="S16" s="1613" t="s">
        <v>118</v>
      </c>
      <c r="T16" s="1653" t="s">
        <v>118</v>
      </c>
      <c r="U16" s="1651">
        <v>0.0</v>
      </c>
      <c r="V16" s="1614">
        <f t="shared" si="14"/>
        <v>0</v>
      </c>
    </row>
    <row r="17">
      <c r="A17" s="1638"/>
      <c r="B17" s="1654" t="s">
        <v>214</v>
      </c>
      <c r="C17" s="1619">
        <v>3.0</v>
      </c>
      <c r="D17" s="1640">
        <v>1.0</v>
      </c>
      <c r="E17" s="1621">
        <v>1.0</v>
      </c>
      <c r="F17" s="1594">
        <f t="shared" si="15"/>
        <v>6</v>
      </c>
      <c r="G17" s="1621">
        <v>0.0</v>
      </c>
      <c r="H17" s="1594">
        <f t="shared" si="16"/>
        <v>0</v>
      </c>
      <c r="I17" s="1641">
        <v>1.0</v>
      </c>
      <c r="J17" s="1594">
        <f t="shared" si="9"/>
        <v>5</v>
      </c>
      <c r="K17" s="1621">
        <v>1.0</v>
      </c>
      <c r="L17" s="1594">
        <f t="shared" si="10"/>
        <v>6</v>
      </c>
      <c r="M17" s="1621">
        <v>1.0</v>
      </c>
      <c r="N17" s="1594">
        <f t="shared" si="11"/>
        <v>6</v>
      </c>
      <c r="O17" s="1641">
        <v>0.0</v>
      </c>
      <c r="P17" s="1594">
        <f t="shared" si="12"/>
        <v>0</v>
      </c>
      <c r="Q17" s="1621" t="s">
        <v>61</v>
      </c>
      <c r="R17" s="1594">
        <f t="shared" si="13"/>
        <v>0</v>
      </c>
      <c r="S17" s="1597" t="s">
        <v>118</v>
      </c>
      <c r="T17" s="1642" t="s">
        <v>118</v>
      </c>
      <c r="U17" s="1621">
        <v>1.0</v>
      </c>
      <c r="V17" s="1599">
        <f t="shared" si="14"/>
        <v>20</v>
      </c>
    </row>
    <row r="18">
      <c r="A18" s="1638"/>
      <c r="B18" s="1655" t="s">
        <v>255</v>
      </c>
      <c r="C18" s="1619">
        <v>2.0</v>
      </c>
      <c r="D18" s="1640">
        <v>1.0</v>
      </c>
      <c r="E18" s="1621">
        <v>1.0</v>
      </c>
      <c r="F18" s="1594">
        <f t="shared" si="15"/>
        <v>6</v>
      </c>
      <c r="G18" s="1621">
        <v>0.0</v>
      </c>
      <c r="H18" s="1594">
        <f t="shared" si="16"/>
        <v>0</v>
      </c>
      <c r="I18" s="1641">
        <v>1.0</v>
      </c>
      <c r="J18" s="1594">
        <f t="shared" si="9"/>
        <v>5</v>
      </c>
      <c r="K18" s="1621">
        <v>1.0</v>
      </c>
      <c r="L18" s="1594">
        <f t="shared" si="10"/>
        <v>6</v>
      </c>
      <c r="M18" s="1621">
        <v>1.0</v>
      </c>
      <c r="N18" s="1594">
        <f t="shared" si="11"/>
        <v>6</v>
      </c>
      <c r="O18" s="1641">
        <v>0.0</v>
      </c>
      <c r="P18" s="1594">
        <f t="shared" si="12"/>
        <v>0</v>
      </c>
      <c r="Q18" s="1621" t="s">
        <v>61</v>
      </c>
      <c r="R18" s="1594">
        <f t="shared" si="13"/>
        <v>0</v>
      </c>
      <c r="S18" s="1597" t="s">
        <v>118</v>
      </c>
      <c r="T18" s="1642" t="s">
        <v>118</v>
      </c>
      <c r="U18" s="1621">
        <v>0.0</v>
      </c>
      <c r="V18" s="1599">
        <f t="shared" si="14"/>
        <v>0</v>
      </c>
    </row>
    <row r="19">
      <c r="A19" s="1656"/>
      <c r="B19" s="1657" t="s">
        <v>115</v>
      </c>
      <c r="C19" s="1619">
        <v>1.0</v>
      </c>
      <c r="D19" s="1640">
        <v>0.0</v>
      </c>
      <c r="E19" s="1621">
        <v>2.0</v>
      </c>
      <c r="F19" s="1594">
        <f t="shared" si="15"/>
        <v>12</v>
      </c>
      <c r="G19" s="1621">
        <v>2.0</v>
      </c>
      <c r="H19" s="1594">
        <f t="shared" si="16"/>
        <v>17</v>
      </c>
      <c r="I19" s="1641">
        <v>0.0</v>
      </c>
      <c r="J19" s="1594">
        <f t="shared" si="9"/>
        <v>0</v>
      </c>
      <c r="K19" s="1621" t="s">
        <v>61</v>
      </c>
      <c r="L19" s="1594">
        <f t="shared" si="10"/>
        <v>0</v>
      </c>
      <c r="M19" s="1621" t="s">
        <v>61</v>
      </c>
      <c r="N19" s="1594">
        <f t="shared" si="11"/>
        <v>0</v>
      </c>
      <c r="O19" s="1641">
        <v>0.0</v>
      </c>
      <c r="P19" s="1594">
        <f t="shared" si="12"/>
        <v>0</v>
      </c>
      <c r="Q19" s="1621" t="s">
        <v>61</v>
      </c>
      <c r="R19" s="1594">
        <f t="shared" si="13"/>
        <v>0</v>
      </c>
      <c r="S19" s="1597" t="s">
        <v>118</v>
      </c>
      <c r="T19" s="1642" t="s">
        <v>118</v>
      </c>
      <c r="U19" s="1621">
        <v>0.0</v>
      </c>
      <c r="V19" s="1599">
        <f t="shared" si="14"/>
        <v>0</v>
      </c>
    </row>
    <row r="20">
      <c r="A20" s="1658" t="s">
        <v>1491</v>
      </c>
      <c r="B20" s="1577" t="s">
        <v>589</v>
      </c>
      <c r="C20" s="1633">
        <v>10.0</v>
      </c>
      <c r="D20" s="1634">
        <v>3.0</v>
      </c>
      <c r="E20" s="1580" t="s">
        <v>118</v>
      </c>
      <c r="F20" s="1581"/>
      <c r="G20" s="1581"/>
      <c r="H20" s="1582"/>
      <c r="I20" s="1635">
        <v>4.0</v>
      </c>
      <c r="J20" s="1584">
        <f t="shared" ref="J20:J28" si="17">IF(I20 = "-", 0, ROUND(100*I20/SUM(I$20:I$28),0))</f>
        <v>40</v>
      </c>
      <c r="K20" s="1636">
        <v>4.0</v>
      </c>
      <c r="L20" s="1584">
        <f t="shared" ref="L20:L28" si="18">IF(K20 = "-", 0, ROUND(100*K20/SUM(K$20:K$28),0))</f>
        <v>50</v>
      </c>
      <c r="M20" s="1636">
        <v>4.0</v>
      </c>
      <c r="N20" s="1659">
        <f t="shared" ref="N20:N28" si="19">IF(M20 = "-", 0, ROUND(100*M20/SUM(M$20:M$28),0))</f>
        <v>57</v>
      </c>
      <c r="O20" s="1636">
        <v>0.0</v>
      </c>
      <c r="P20" s="1584">
        <f t="shared" ref="P20:P28" si="20">IF(O20 = "-", 0, ROUND(100*O20/SUM(O$20:O$28),0))</f>
        <v>0</v>
      </c>
      <c r="Q20" s="1636" t="s">
        <v>61</v>
      </c>
      <c r="R20" s="1584">
        <f t="shared" ref="R20:R28" si="21">IF(Q20 = "-", 0, ROUND(100*Q20/SUM(Q$20:Q$28),0))</f>
        <v>0</v>
      </c>
      <c r="S20" s="1635">
        <v>7.0</v>
      </c>
      <c r="T20" s="1637">
        <v>9.0</v>
      </c>
      <c r="U20" s="1636">
        <v>0.0</v>
      </c>
      <c r="V20" s="1589">
        <f t="shared" ref="V20:V28" si="22">IF(U20 = "-", 0, ROUND(100*U20/SUM(U$20:U$28),0))</f>
        <v>0</v>
      </c>
    </row>
    <row r="21">
      <c r="A21" s="1638"/>
      <c r="B21" s="1643" t="s">
        <v>375</v>
      </c>
      <c r="C21" s="1619">
        <v>4.0</v>
      </c>
      <c r="D21" s="1640">
        <v>1.0</v>
      </c>
      <c r="E21" s="1621">
        <v>1.0</v>
      </c>
      <c r="F21" s="1594">
        <f t="shared" ref="F21:F28" si="23">IF(E21 = "-", 0, ROUND(100*E21/SUM(E$21:E$28),0))</f>
        <v>7</v>
      </c>
      <c r="G21" s="1621">
        <v>1.0</v>
      </c>
      <c r="H21" s="1594">
        <f t="shared" ref="H21:H28" si="24">IF(G21 = "-", 0, ROUND(100*G21/SUM(G$21:G$28),0))</f>
        <v>7</v>
      </c>
      <c r="I21" s="1641">
        <v>0.0</v>
      </c>
      <c r="J21" s="1594">
        <f t="shared" si="17"/>
        <v>0</v>
      </c>
      <c r="K21" s="1621" t="s">
        <v>61</v>
      </c>
      <c r="L21" s="1594">
        <f t="shared" si="18"/>
        <v>0</v>
      </c>
      <c r="M21" s="1621" t="s">
        <v>61</v>
      </c>
      <c r="N21" s="1594">
        <f t="shared" si="19"/>
        <v>0</v>
      </c>
      <c r="O21" s="1641">
        <v>0.0</v>
      </c>
      <c r="P21" s="1594">
        <f t="shared" si="20"/>
        <v>0</v>
      </c>
      <c r="Q21" s="1621" t="s">
        <v>61</v>
      </c>
      <c r="R21" s="1594">
        <f t="shared" si="21"/>
        <v>0</v>
      </c>
      <c r="S21" s="1597" t="s">
        <v>118</v>
      </c>
      <c r="T21" s="1597" t="s">
        <v>118</v>
      </c>
      <c r="U21" s="1621">
        <v>2.0</v>
      </c>
      <c r="V21" s="1599">
        <f t="shared" si="22"/>
        <v>40</v>
      </c>
    </row>
    <row r="22">
      <c r="A22" s="1638"/>
      <c r="B22" s="1660" t="s">
        <v>320</v>
      </c>
      <c r="C22" s="1619">
        <v>4.0</v>
      </c>
      <c r="D22" s="1640">
        <v>1.0</v>
      </c>
      <c r="E22" s="1621">
        <v>1.0</v>
      </c>
      <c r="F22" s="1594">
        <f t="shared" si="23"/>
        <v>7</v>
      </c>
      <c r="G22" s="1621">
        <v>1.0</v>
      </c>
      <c r="H22" s="1594">
        <f t="shared" si="24"/>
        <v>7</v>
      </c>
      <c r="I22" s="1641">
        <v>0.0</v>
      </c>
      <c r="J22" s="1594">
        <f t="shared" si="17"/>
        <v>0</v>
      </c>
      <c r="K22" s="1621" t="s">
        <v>61</v>
      </c>
      <c r="L22" s="1594">
        <f t="shared" si="18"/>
        <v>0</v>
      </c>
      <c r="M22" s="1621" t="s">
        <v>61</v>
      </c>
      <c r="N22" s="1594">
        <f t="shared" si="19"/>
        <v>0</v>
      </c>
      <c r="O22" s="1641">
        <v>0.0</v>
      </c>
      <c r="P22" s="1594">
        <f t="shared" si="20"/>
        <v>0</v>
      </c>
      <c r="Q22" s="1621" t="s">
        <v>61</v>
      </c>
      <c r="R22" s="1594">
        <f t="shared" si="21"/>
        <v>0</v>
      </c>
      <c r="S22" s="1597" t="s">
        <v>118</v>
      </c>
      <c r="T22" s="1597" t="s">
        <v>118</v>
      </c>
      <c r="U22" s="1621">
        <v>0.0</v>
      </c>
      <c r="V22" s="1599">
        <f t="shared" si="22"/>
        <v>0</v>
      </c>
    </row>
    <row r="23">
      <c r="A23" s="1638"/>
      <c r="B23" s="1661" t="s">
        <v>214</v>
      </c>
      <c r="C23" s="1645">
        <v>2.0</v>
      </c>
      <c r="D23" s="1646">
        <v>1.0</v>
      </c>
      <c r="E23" s="1647">
        <v>0.0</v>
      </c>
      <c r="F23" s="1604">
        <f t="shared" si="23"/>
        <v>0</v>
      </c>
      <c r="G23" s="1647" t="s">
        <v>61</v>
      </c>
      <c r="H23" s="1604">
        <f t="shared" si="24"/>
        <v>0</v>
      </c>
      <c r="I23" s="1648">
        <v>0.0</v>
      </c>
      <c r="J23" s="1604">
        <f t="shared" si="17"/>
        <v>0</v>
      </c>
      <c r="K23" s="1647" t="s">
        <v>61</v>
      </c>
      <c r="L23" s="1604">
        <f t="shared" si="18"/>
        <v>0</v>
      </c>
      <c r="M23" s="1647" t="s">
        <v>61</v>
      </c>
      <c r="N23" s="1604">
        <f t="shared" si="19"/>
        <v>0</v>
      </c>
      <c r="O23" s="1648">
        <v>1.0</v>
      </c>
      <c r="P23" s="1604">
        <f t="shared" si="20"/>
        <v>50</v>
      </c>
      <c r="Q23" s="1647">
        <v>1.0</v>
      </c>
      <c r="R23" s="1604">
        <f t="shared" si="21"/>
        <v>100</v>
      </c>
      <c r="S23" s="1607" t="s">
        <v>118</v>
      </c>
      <c r="T23" s="1607" t="s">
        <v>118</v>
      </c>
      <c r="U23" s="1647">
        <v>0.0</v>
      </c>
      <c r="V23" s="1609">
        <f t="shared" si="22"/>
        <v>0</v>
      </c>
    </row>
    <row r="24">
      <c r="A24" s="1638"/>
      <c r="B24" s="1639" t="s">
        <v>36</v>
      </c>
      <c r="C24" s="1619">
        <v>6.0</v>
      </c>
      <c r="D24" s="1650">
        <v>1.0</v>
      </c>
      <c r="E24" s="1651">
        <v>3.0</v>
      </c>
      <c r="F24" s="1612">
        <f t="shared" si="23"/>
        <v>20</v>
      </c>
      <c r="G24" s="1651">
        <v>2.0</v>
      </c>
      <c r="H24" s="1612">
        <f t="shared" si="24"/>
        <v>14</v>
      </c>
      <c r="I24" s="1652">
        <v>2.0</v>
      </c>
      <c r="J24" s="1612">
        <f t="shared" si="17"/>
        <v>20</v>
      </c>
      <c r="K24" s="1651">
        <v>1.0</v>
      </c>
      <c r="L24" s="1612">
        <f t="shared" si="18"/>
        <v>13</v>
      </c>
      <c r="M24" s="1651">
        <v>1.0</v>
      </c>
      <c r="N24" s="1612">
        <f t="shared" si="19"/>
        <v>14</v>
      </c>
      <c r="O24" s="1652">
        <v>0.0</v>
      </c>
      <c r="P24" s="1612">
        <f t="shared" si="20"/>
        <v>0</v>
      </c>
      <c r="Q24" s="1651" t="s">
        <v>61</v>
      </c>
      <c r="R24" s="1612">
        <f t="shared" si="21"/>
        <v>0</v>
      </c>
      <c r="S24" s="1613" t="s">
        <v>118</v>
      </c>
      <c r="T24" s="1613" t="s">
        <v>118</v>
      </c>
      <c r="U24" s="1651">
        <v>3.0</v>
      </c>
      <c r="V24" s="1614">
        <f t="shared" si="22"/>
        <v>60</v>
      </c>
    </row>
    <row r="25">
      <c r="A25" s="1638"/>
      <c r="B25" s="1610" t="s">
        <v>31</v>
      </c>
      <c r="C25" s="1619">
        <v>4.0</v>
      </c>
      <c r="D25" s="1640">
        <v>1.0</v>
      </c>
      <c r="E25" s="1621">
        <v>5.0</v>
      </c>
      <c r="F25" s="1594">
        <f t="shared" si="23"/>
        <v>33</v>
      </c>
      <c r="G25" s="1621">
        <v>5.0</v>
      </c>
      <c r="H25" s="1594">
        <f t="shared" si="24"/>
        <v>36</v>
      </c>
      <c r="I25" s="1641">
        <v>1.0</v>
      </c>
      <c r="J25" s="1594">
        <f t="shared" si="17"/>
        <v>10</v>
      </c>
      <c r="K25" s="1621">
        <v>0.0</v>
      </c>
      <c r="L25" s="1594">
        <f t="shared" si="18"/>
        <v>0</v>
      </c>
      <c r="M25" s="1621" t="s">
        <v>61</v>
      </c>
      <c r="N25" s="1594">
        <f t="shared" si="19"/>
        <v>0</v>
      </c>
      <c r="O25" s="1641">
        <v>0.0</v>
      </c>
      <c r="P25" s="1594">
        <f t="shared" si="20"/>
        <v>0</v>
      </c>
      <c r="Q25" s="1621" t="s">
        <v>61</v>
      </c>
      <c r="R25" s="1594">
        <f t="shared" si="21"/>
        <v>0</v>
      </c>
      <c r="S25" s="1597" t="s">
        <v>118</v>
      </c>
      <c r="T25" s="1597" t="s">
        <v>118</v>
      </c>
      <c r="U25" s="1621">
        <v>0.0</v>
      </c>
      <c r="V25" s="1599">
        <f t="shared" si="22"/>
        <v>0</v>
      </c>
    </row>
    <row r="26">
      <c r="A26" s="1638"/>
      <c r="B26" s="1655" t="s">
        <v>255</v>
      </c>
      <c r="C26" s="1619">
        <v>2.0</v>
      </c>
      <c r="D26" s="1640">
        <v>1.0</v>
      </c>
      <c r="E26" s="1621">
        <v>1.0</v>
      </c>
      <c r="F26" s="1594">
        <f t="shared" si="23"/>
        <v>7</v>
      </c>
      <c r="G26" s="1621">
        <v>1.0</v>
      </c>
      <c r="H26" s="1594">
        <f t="shared" si="24"/>
        <v>7</v>
      </c>
      <c r="I26" s="1641">
        <v>0.0</v>
      </c>
      <c r="J26" s="1594">
        <f t="shared" si="17"/>
        <v>0</v>
      </c>
      <c r="K26" s="1621" t="s">
        <v>61</v>
      </c>
      <c r="L26" s="1594">
        <f t="shared" si="18"/>
        <v>0</v>
      </c>
      <c r="M26" s="1621" t="s">
        <v>61</v>
      </c>
      <c r="N26" s="1594">
        <f t="shared" si="19"/>
        <v>0</v>
      </c>
      <c r="O26" s="1641">
        <v>0.0</v>
      </c>
      <c r="P26" s="1594">
        <f t="shared" si="20"/>
        <v>0</v>
      </c>
      <c r="Q26" s="1621" t="s">
        <v>61</v>
      </c>
      <c r="R26" s="1594">
        <f t="shared" si="21"/>
        <v>0</v>
      </c>
      <c r="S26" s="1597" t="s">
        <v>118</v>
      </c>
      <c r="T26" s="1597" t="s">
        <v>118</v>
      </c>
      <c r="U26" s="1621">
        <v>0.0</v>
      </c>
      <c r="V26" s="1599">
        <f t="shared" si="22"/>
        <v>0</v>
      </c>
    </row>
    <row r="27">
      <c r="A27" s="1638"/>
      <c r="B27" s="1644" t="s">
        <v>333</v>
      </c>
      <c r="C27" s="1619">
        <v>2.0</v>
      </c>
      <c r="D27" s="1640">
        <v>1.0</v>
      </c>
      <c r="E27" s="1621">
        <v>4.0</v>
      </c>
      <c r="F27" s="1594">
        <f t="shared" si="23"/>
        <v>27</v>
      </c>
      <c r="G27" s="1621">
        <v>4.0</v>
      </c>
      <c r="H27" s="1594">
        <f t="shared" si="24"/>
        <v>29</v>
      </c>
      <c r="I27" s="1641">
        <v>3.0</v>
      </c>
      <c r="J27" s="1594">
        <f t="shared" si="17"/>
        <v>30</v>
      </c>
      <c r="K27" s="1621">
        <v>3.0</v>
      </c>
      <c r="L27" s="1594">
        <f t="shared" si="18"/>
        <v>38</v>
      </c>
      <c r="M27" s="1621">
        <v>2.0</v>
      </c>
      <c r="N27" s="1594">
        <f t="shared" si="19"/>
        <v>29</v>
      </c>
      <c r="O27" s="1641">
        <v>1.0</v>
      </c>
      <c r="P27" s="1594">
        <f t="shared" si="20"/>
        <v>50</v>
      </c>
      <c r="Q27" s="1621">
        <v>0.0</v>
      </c>
      <c r="R27" s="1594">
        <f t="shared" si="21"/>
        <v>0</v>
      </c>
      <c r="S27" s="1597" t="s">
        <v>118</v>
      </c>
      <c r="T27" s="1597" t="s">
        <v>118</v>
      </c>
      <c r="U27" s="1621">
        <v>0.0</v>
      </c>
      <c r="V27" s="1599">
        <f t="shared" si="22"/>
        <v>0</v>
      </c>
    </row>
    <row r="28">
      <c r="A28" s="1656"/>
      <c r="B28" s="1657" t="s">
        <v>115</v>
      </c>
      <c r="C28" s="1619">
        <v>1.0</v>
      </c>
      <c r="D28" s="1640">
        <v>0.0</v>
      </c>
      <c r="E28" s="1621">
        <v>0.0</v>
      </c>
      <c r="F28" s="1594">
        <f t="shared" si="23"/>
        <v>0</v>
      </c>
      <c r="G28" s="1621" t="s">
        <v>61</v>
      </c>
      <c r="H28" s="1594">
        <f t="shared" si="24"/>
        <v>0</v>
      </c>
      <c r="I28" s="1641">
        <v>0.0</v>
      </c>
      <c r="J28" s="1594">
        <f t="shared" si="17"/>
        <v>0</v>
      </c>
      <c r="K28" s="1621" t="s">
        <v>61</v>
      </c>
      <c r="L28" s="1594">
        <f t="shared" si="18"/>
        <v>0</v>
      </c>
      <c r="M28" s="1621" t="s">
        <v>61</v>
      </c>
      <c r="N28" s="1594">
        <f t="shared" si="19"/>
        <v>0</v>
      </c>
      <c r="O28" s="1641">
        <v>0.0</v>
      </c>
      <c r="P28" s="1594">
        <f t="shared" si="20"/>
        <v>0</v>
      </c>
      <c r="Q28" s="1621" t="s">
        <v>61</v>
      </c>
      <c r="R28" s="1594">
        <f t="shared" si="21"/>
        <v>0</v>
      </c>
      <c r="S28" s="1597" t="s">
        <v>118</v>
      </c>
      <c r="T28" s="1597" t="s">
        <v>118</v>
      </c>
      <c r="U28" s="1621">
        <v>0.0</v>
      </c>
      <c r="V28" s="1599">
        <f t="shared" si="22"/>
        <v>0</v>
      </c>
    </row>
    <row r="29">
      <c r="A29" s="1662" t="s">
        <v>32</v>
      </c>
      <c r="B29" s="1663" t="s">
        <v>589</v>
      </c>
      <c r="C29" s="1633">
        <v>18.0</v>
      </c>
      <c r="D29" s="1664">
        <v>3.0</v>
      </c>
      <c r="E29" s="1580" t="s">
        <v>118</v>
      </c>
      <c r="F29" s="1581"/>
      <c r="G29" s="1581"/>
      <c r="H29" s="1582"/>
      <c r="I29" s="1635">
        <v>4.0</v>
      </c>
      <c r="J29" s="1584">
        <f t="shared" ref="J29:J36" si="25">IF(I29 = "-", 0, ROUND(100*I29/SUM(I$29:I$44),0))</f>
        <v>29</v>
      </c>
      <c r="K29" s="1636">
        <v>4.0</v>
      </c>
      <c r="L29" s="1584">
        <f t="shared" ref="L29:L36" si="26">IF(K29 = "-", 0, ROUND(100*K29/SUM(K$29:K$44),0))</f>
        <v>33</v>
      </c>
      <c r="M29" s="1636">
        <v>4.0</v>
      </c>
      <c r="N29" s="1584">
        <f t="shared" ref="N29:N36" si="27">IF(M29 = "-", 0, ROUND(100*M29/SUM(M$29:M$44),0))</f>
        <v>40</v>
      </c>
      <c r="O29" s="1635">
        <v>0.0</v>
      </c>
      <c r="P29" s="1584">
        <f t="shared" ref="P29:P36" si="28">IF(O29 = "-", 0, ROUND(100*O29/SUM(O$29:O$44),0))</f>
        <v>0</v>
      </c>
      <c r="Q29" s="1636" t="s">
        <v>61</v>
      </c>
      <c r="R29" s="1584">
        <f t="shared" ref="R29:R36" si="29">IF(Q29 = "-", 0, ROUND(100*Q29/SUM(Q$29:Q$44),0))</f>
        <v>0</v>
      </c>
      <c r="S29" s="1635">
        <v>18.0</v>
      </c>
      <c r="T29" s="1637">
        <v>1.0</v>
      </c>
      <c r="U29" s="1636">
        <v>2.0</v>
      </c>
      <c r="V29" s="1589">
        <f t="shared" ref="V29:V36" si="30">IF(U29 = "-", 0, ROUND(100*U29/SUM(U$29:U$44),0))</f>
        <v>14</v>
      </c>
    </row>
    <row r="30">
      <c r="A30" s="1638"/>
      <c r="B30" s="1665" t="s">
        <v>31</v>
      </c>
      <c r="C30" s="1619">
        <v>7.0</v>
      </c>
      <c r="D30" s="1666">
        <v>1.0</v>
      </c>
      <c r="E30" s="1619">
        <v>14.0</v>
      </c>
      <c r="F30" s="1594">
        <f t="shared" ref="F30:F36" si="31">IF(E30 = "-", 0, ROUND(100*E30/SUM(E$30:E$44),0))</f>
        <v>39</v>
      </c>
      <c r="G30" s="1619">
        <v>14.0</v>
      </c>
      <c r="H30" s="1594">
        <f t="shared" ref="H30:H36" si="32">IF(G30 = "-", 0, ROUND(100*G30/SUM(G$30:G$44),0))</f>
        <v>56</v>
      </c>
      <c r="I30" s="1641">
        <v>2.0</v>
      </c>
      <c r="J30" s="1594">
        <f t="shared" si="25"/>
        <v>14</v>
      </c>
      <c r="K30" s="1621">
        <v>2.0</v>
      </c>
      <c r="L30" s="1594">
        <f t="shared" si="26"/>
        <v>17</v>
      </c>
      <c r="M30" s="1621">
        <v>2.0</v>
      </c>
      <c r="N30" s="1594">
        <f t="shared" si="27"/>
        <v>20</v>
      </c>
      <c r="O30" s="1641">
        <v>1.0</v>
      </c>
      <c r="P30" s="1594">
        <f t="shared" si="28"/>
        <v>25</v>
      </c>
      <c r="Q30" s="1621">
        <v>1.0</v>
      </c>
      <c r="R30" s="1594">
        <f t="shared" si="29"/>
        <v>33</v>
      </c>
      <c r="S30" s="1597" t="s">
        <v>118</v>
      </c>
      <c r="T30" s="1597" t="s">
        <v>118</v>
      </c>
      <c r="U30" s="1621">
        <v>3.0</v>
      </c>
      <c r="V30" s="1599">
        <f t="shared" si="30"/>
        <v>21</v>
      </c>
    </row>
    <row r="31">
      <c r="A31" s="1638"/>
      <c r="B31" s="1667" t="s">
        <v>214</v>
      </c>
      <c r="C31" s="1619">
        <v>7.0</v>
      </c>
      <c r="D31" s="1666">
        <v>1.0</v>
      </c>
      <c r="E31" s="1619">
        <v>1.0</v>
      </c>
      <c r="F31" s="1594">
        <f t="shared" si="31"/>
        <v>3</v>
      </c>
      <c r="G31" s="1619">
        <v>1.0</v>
      </c>
      <c r="H31" s="1594">
        <f t="shared" si="32"/>
        <v>4</v>
      </c>
      <c r="I31" s="1641">
        <v>0.0</v>
      </c>
      <c r="J31" s="1594">
        <f t="shared" si="25"/>
        <v>0</v>
      </c>
      <c r="K31" s="1621" t="s">
        <v>61</v>
      </c>
      <c r="L31" s="1594">
        <f t="shared" si="26"/>
        <v>0</v>
      </c>
      <c r="M31" s="1621" t="s">
        <v>61</v>
      </c>
      <c r="N31" s="1594">
        <f t="shared" si="27"/>
        <v>0</v>
      </c>
      <c r="O31" s="1641">
        <v>0.0</v>
      </c>
      <c r="P31" s="1594">
        <f t="shared" si="28"/>
        <v>0</v>
      </c>
      <c r="Q31" s="1621" t="s">
        <v>61</v>
      </c>
      <c r="R31" s="1594">
        <f t="shared" si="29"/>
        <v>0</v>
      </c>
      <c r="S31" s="1597" t="s">
        <v>118</v>
      </c>
      <c r="T31" s="1597" t="s">
        <v>118</v>
      </c>
      <c r="U31" s="1621">
        <v>1.0</v>
      </c>
      <c r="V31" s="1599">
        <f t="shared" si="30"/>
        <v>7</v>
      </c>
    </row>
    <row r="32">
      <c r="A32" s="1638"/>
      <c r="B32" s="1668" t="s">
        <v>255</v>
      </c>
      <c r="C32" s="1619">
        <v>3.0</v>
      </c>
      <c r="D32" s="1666">
        <v>1.0</v>
      </c>
      <c r="E32" s="1619">
        <v>1.0</v>
      </c>
      <c r="F32" s="1594">
        <f t="shared" si="31"/>
        <v>3</v>
      </c>
      <c r="G32" s="1619">
        <v>1.0</v>
      </c>
      <c r="H32" s="1669">
        <f t="shared" si="32"/>
        <v>4</v>
      </c>
      <c r="I32" s="1641">
        <v>0.0</v>
      </c>
      <c r="J32" s="1594">
        <f t="shared" si="25"/>
        <v>0</v>
      </c>
      <c r="K32" s="1621" t="s">
        <v>61</v>
      </c>
      <c r="L32" s="1594">
        <f t="shared" si="26"/>
        <v>0</v>
      </c>
      <c r="M32" s="1621" t="s">
        <v>61</v>
      </c>
      <c r="N32" s="1594">
        <f t="shared" si="27"/>
        <v>0</v>
      </c>
      <c r="O32" s="1641">
        <v>1.0</v>
      </c>
      <c r="P32" s="1594">
        <f t="shared" si="28"/>
        <v>25</v>
      </c>
      <c r="Q32" s="1621">
        <v>1.0</v>
      </c>
      <c r="R32" s="1594">
        <f t="shared" si="29"/>
        <v>33</v>
      </c>
      <c r="S32" s="1597" t="s">
        <v>118</v>
      </c>
      <c r="T32" s="1597" t="s">
        <v>118</v>
      </c>
      <c r="U32" s="1621">
        <v>0.0</v>
      </c>
      <c r="V32" s="1599">
        <f t="shared" si="30"/>
        <v>0</v>
      </c>
    </row>
    <row r="33">
      <c r="A33" s="1638"/>
      <c r="B33" s="1670" t="s">
        <v>258</v>
      </c>
      <c r="C33" s="1645">
        <v>1.0</v>
      </c>
      <c r="D33" s="1671">
        <v>0.0</v>
      </c>
      <c r="E33" s="1645">
        <v>1.0</v>
      </c>
      <c r="F33" s="1604">
        <f t="shared" si="31"/>
        <v>3</v>
      </c>
      <c r="G33" s="1645">
        <v>1.0</v>
      </c>
      <c r="H33" s="1672">
        <f t="shared" si="32"/>
        <v>4</v>
      </c>
      <c r="I33" s="1645">
        <v>0.0</v>
      </c>
      <c r="J33" s="1604">
        <f t="shared" si="25"/>
        <v>0</v>
      </c>
      <c r="K33" s="1647" t="s">
        <v>61</v>
      </c>
      <c r="L33" s="1604">
        <f t="shared" si="26"/>
        <v>0</v>
      </c>
      <c r="M33" s="1647" t="s">
        <v>61</v>
      </c>
      <c r="N33" s="1672">
        <f t="shared" si="27"/>
        <v>0</v>
      </c>
      <c r="O33" s="1648">
        <v>0.0</v>
      </c>
      <c r="P33" s="1604">
        <f t="shared" si="28"/>
        <v>0</v>
      </c>
      <c r="Q33" s="1647" t="s">
        <v>61</v>
      </c>
      <c r="R33" s="1604">
        <f t="shared" si="29"/>
        <v>0</v>
      </c>
      <c r="S33" s="1607" t="s">
        <v>118</v>
      </c>
      <c r="T33" s="1607" t="s">
        <v>118</v>
      </c>
      <c r="U33" s="1647">
        <v>3.0</v>
      </c>
      <c r="V33" s="1609">
        <f t="shared" si="30"/>
        <v>21</v>
      </c>
    </row>
    <row r="34">
      <c r="A34" s="1638"/>
      <c r="B34" s="1673" t="s">
        <v>243</v>
      </c>
      <c r="C34" s="1619">
        <v>5.0</v>
      </c>
      <c r="D34" s="1666">
        <v>1.0</v>
      </c>
      <c r="E34" s="1619">
        <v>6.0</v>
      </c>
      <c r="F34" s="1612">
        <f t="shared" si="31"/>
        <v>17</v>
      </c>
      <c r="G34" s="1619">
        <v>2.0</v>
      </c>
      <c r="H34" s="1674">
        <f t="shared" si="32"/>
        <v>8</v>
      </c>
      <c r="I34" s="1652">
        <v>2.0</v>
      </c>
      <c r="J34" s="1612">
        <f t="shared" si="25"/>
        <v>14</v>
      </c>
      <c r="K34" s="1651">
        <v>2.0</v>
      </c>
      <c r="L34" s="1612">
        <f t="shared" si="26"/>
        <v>17</v>
      </c>
      <c r="M34" s="1651">
        <v>1.0</v>
      </c>
      <c r="N34" s="1674">
        <f t="shared" si="27"/>
        <v>10</v>
      </c>
      <c r="O34" s="1652">
        <v>0.0</v>
      </c>
      <c r="P34" s="1612">
        <f t="shared" si="28"/>
        <v>0</v>
      </c>
      <c r="Q34" s="1651" t="s">
        <v>61</v>
      </c>
      <c r="R34" s="1612">
        <f t="shared" si="29"/>
        <v>0</v>
      </c>
      <c r="S34" s="1613" t="s">
        <v>118</v>
      </c>
      <c r="T34" s="1613" t="s">
        <v>118</v>
      </c>
      <c r="U34" s="1651">
        <v>2.0</v>
      </c>
      <c r="V34" s="1614">
        <f t="shared" si="30"/>
        <v>14</v>
      </c>
    </row>
    <row r="35">
      <c r="A35" s="1638"/>
      <c r="B35" s="1675" t="s">
        <v>1303</v>
      </c>
      <c r="C35" s="1619">
        <v>1.0</v>
      </c>
      <c r="D35" s="1666">
        <v>1.0</v>
      </c>
      <c r="E35" s="1619">
        <v>0.0</v>
      </c>
      <c r="F35" s="1594">
        <f t="shared" si="31"/>
        <v>0</v>
      </c>
      <c r="G35" s="1619" t="s">
        <v>61</v>
      </c>
      <c r="H35" s="1669">
        <f t="shared" si="32"/>
        <v>0</v>
      </c>
      <c r="I35" s="1621">
        <v>0.0</v>
      </c>
      <c r="J35" s="1594">
        <f t="shared" si="25"/>
        <v>0</v>
      </c>
      <c r="K35" s="1621" t="s">
        <v>61</v>
      </c>
      <c r="L35" s="1594">
        <f t="shared" si="26"/>
        <v>0</v>
      </c>
      <c r="M35" s="1621" t="s">
        <v>61</v>
      </c>
      <c r="N35" s="1669">
        <f t="shared" si="27"/>
        <v>0</v>
      </c>
      <c r="O35" s="1641">
        <v>0.0</v>
      </c>
      <c r="P35" s="1594">
        <f t="shared" si="28"/>
        <v>0</v>
      </c>
      <c r="Q35" s="1621" t="s">
        <v>61</v>
      </c>
      <c r="R35" s="1594">
        <f t="shared" si="29"/>
        <v>0</v>
      </c>
      <c r="S35" s="1597" t="s">
        <v>118</v>
      </c>
      <c r="T35" s="1597" t="s">
        <v>118</v>
      </c>
      <c r="U35" s="1621">
        <v>0.0</v>
      </c>
      <c r="V35" s="1599">
        <f t="shared" si="30"/>
        <v>0</v>
      </c>
    </row>
    <row r="36">
      <c r="A36" s="1638"/>
      <c r="B36" s="1676" t="s">
        <v>274</v>
      </c>
      <c r="C36" s="1619">
        <v>1.0</v>
      </c>
      <c r="D36" s="1666">
        <v>0.0</v>
      </c>
      <c r="E36" s="1619">
        <v>2.0</v>
      </c>
      <c r="F36" s="1594">
        <f t="shared" si="31"/>
        <v>6</v>
      </c>
      <c r="G36" s="1619">
        <v>0.0</v>
      </c>
      <c r="H36" s="1669">
        <f t="shared" si="32"/>
        <v>0</v>
      </c>
      <c r="I36" s="1641">
        <v>1.0</v>
      </c>
      <c r="J36" s="1594">
        <f t="shared" si="25"/>
        <v>7</v>
      </c>
      <c r="K36" s="1621">
        <v>1.0</v>
      </c>
      <c r="L36" s="1594">
        <f t="shared" si="26"/>
        <v>8</v>
      </c>
      <c r="M36" s="1621">
        <v>1.0</v>
      </c>
      <c r="N36" s="1669">
        <f t="shared" si="27"/>
        <v>10</v>
      </c>
      <c r="O36" s="1641">
        <v>0.0</v>
      </c>
      <c r="P36" s="1594">
        <f t="shared" si="28"/>
        <v>0</v>
      </c>
      <c r="Q36" s="1621" t="s">
        <v>61</v>
      </c>
      <c r="R36" s="1594">
        <f t="shared" si="29"/>
        <v>0</v>
      </c>
      <c r="S36" s="1597" t="s">
        <v>118</v>
      </c>
      <c r="T36" s="1597" t="s">
        <v>118</v>
      </c>
      <c r="U36" s="1621">
        <v>1.0</v>
      </c>
      <c r="V36" s="1599">
        <f t="shared" si="30"/>
        <v>7</v>
      </c>
    </row>
    <row r="37">
      <c r="A37" s="1638"/>
      <c r="B37" s="1677" t="s">
        <v>1490</v>
      </c>
      <c r="C37" s="1619"/>
      <c r="D37" s="1666"/>
      <c r="E37" s="1619"/>
      <c r="F37" s="1594"/>
      <c r="G37" s="1619"/>
      <c r="H37" s="1594"/>
      <c r="I37" s="1641"/>
      <c r="J37" s="1594"/>
      <c r="K37" s="1621"/>
      <c r="L37" s="1594"/>
      <c r="M37" s="1621"/>
      <c r="N37" s="1669"/>
      <c r="O37" s="1621"/>
      <c r="P37" s="1594"/>
      <c r="Q37" s="1621"/>
      <c r="R37" s="1594"/>
      <c r="S37" s="1678"/>
      <c r="T37" s="1640"/>
      <c r="U37" s="1621"/>
      <c r="V37" s="1599"/>
    </row>
    <row r="38">
      <c r="A38" s="1638"/>
      <c r="B38" s="1679" t="s">
        <v>320</v>
      </c>
      <c r="C38" s="1619">
        <v>0.0</v>
      </c>
      <c r="D38" s="1666">
        <v>0.0</v>
      </c>
      <c r="E38" s="1619">
        <v>4.0</v>
      </c>
      <c r="F38" s="1594">
        <f t="shared" ref="F38:F44" si="33">IF(E38 = "-", 0, ROUND(100*E38/SUM(E$30:E$44),0))</f>
        <v>11</v>
      </c>
      <c r="G38" s="1619">
        <v>4.0</v>
      </c>
      <c r="H38" s="1594">
        <f t="shared" ref="H38:H44" si="34">IF(G38 = "-", 0, ROUND(100*G38/SUM(G$30:G$44),0))</f>
        <v>16</v>
      </c>
      <c r="I38" s="1641">
        <v>1.0</v>
      </c>
      <c r="J38" s="1594">
        <f t="shared" ref="J38:J44" si="35">IF(I38 = "-", 0, ROUND(100*I38/SUM(I$29:I$44),0))</f>
        <v>7</v>
      </c>
      <c r="K38" s="1621">
        <v>0.0</v>
      </c>
      <c r="L38" s="1594">
        <f t="shared" ref="L38:L44" si="36">IF(K38 = "-", 0, ROUND(100*K38/SUM(K$29:K$44),0))</f>
        <v>0</v>
      </c>
      <c r="M38" s="1621" t="s">
        <v>61</v>
      </c>
      <c r="N38" s="1669">
        <f t="shared" ref="N38:N44" si="37">IF(M38 = "-", 0, ROUND(100*M38/SUM(M$29:M$44),0))</f>
        <v>0</v>
      </c>
      <c r="O38" s="1621">
        <v>1.0</v>
      </c>
      <c r="P38" s="1594">
        <f t="shared" ref="P38:P44" si="38">IF(O38 = "-", 0, ROUND(100*O38/SUM(O$29:O$44),0))</f>
        <v>25</v>
      </c>
      <c r="Q38" s="1621">
        <v>0.0</v>
      </c>
      <c r="R38" s="1594">
        <f t="shared" ref="R38:R44" si="39">IF(Q38 = "-", 0, ROUND(100*Q38/SUM(Q$29:Q$44),0))</f>
        <v>0</v>
      </c>
      <c r="S38" s="1597" t="s">
        <v>118</v>
      </c>
      <c r="T38" s="1597" t="s">
        <v>118</v>
      </c>
      <c r="U38" s="1621">
        <v>1.0</v>
      </c>
      <c r="V38" s="1599">
        <f t="shared" ref="V38:V44" si="40">IF(U38 = "-", 0, ROUND(100*U38/SUM(U$29:U$44),0))</f>
        <v>7</v>
      </c>
    </row>
    <row r="39">
      <c r="A39" s="1638"/>
      <c r="B39" s="1680" t="s">
        <v>311</v>
      </c>
      <c r="C39" s="1619">
        <v>0.0</v>
      </c>
      <c r="D39" s="1640">
        <v>0.0</v>
      </c>
      <c r="E39" s="1619">
        <v>3.0</v>
      </c>
      <c r="F39" s="1594">
        <f t="shared" si="33"/>
        <v>8</v>
      </c>
      <c r="G39" s="1619">
        <v>0.0</v>
      </c>
      <c r="H39" s="1594">
        <f t="shared" si="34"/>
        <v>0</v>
      </c>
      <c r="I39" s="1641">
        <v>1.0</v>
      </c>
      <c r="J39" s="1594">
        <f t="shared" si="35"/>
        <v>7</v>
      </c>
      <c r="K39" s="1621">
        <v>0.0</v>
      </c>
      <c r="L39" s="1594">
        <f t="shared" si="36"/>
        <v>0</v>
      </c>
      <c r="M39" s="1621" t="s">
        <v>61</v>
      </c>
      <c r="N39" s="1669">
        <f t="shared" si="37"/>
        <v>0</v>
      </c>
      <c r="O39" s="1641">
        <v>0.0</v>
      </c>
      <c r="P39" s="1594">
        <f t="shared" si="38"/>
        <v>0</v>
      </c>
      <c r="Q39" s="1621" t="s">
        <v>61</v>
      </c>
      <c r="R39" s="1594">
        <f t="shared" si="39"/>
        <v>0</v>
      </c>
      <c r="S39" s="1597" t="s">
        <v>118</v>
      </c>
      <c r="T39" s="1597" t="s">
        <v>118</v>
      </c>
      <c r="U39" s="1621">
        <v>0.0</v>
      </c>
      <c r="V39" s="1599">
        <f t="shared" si="40"/>
        <v>0</v>
      </c>
    </row>
    <row r="40">
      <c r="A40" s="1638"/>
      <c r="B40" s="1681" t="s">
        <v>333</v>
      </c>
      <c r="C40" s="1619">
        <v>0.0</v>
      </c>
      <c r="D40" s="1640">
        <v>0.0</v>
      </c>
      <c r="E40" s="1619">
        <v>2.0</v>
      </c>
      <c r="F40" s="1594">
        <f t="shared" si="33"/>
        <v>6</v>
      </c>
      <c r="G40" s="1619">
        <v>0.0</v>
      </c>
      <c r="H40" s="1594">
        <f t="shared" si="34"/>
        <v>0</v>
      </c>
      <c r="I40" s="1641">
        <v>2.0</v>
      </c>
      <c r="J40" s="1594">
        <f t="shared" si="35"/>
        <v>14</v>
      </c>
      <c r="K40" s="1621">
        <v>2.0</v>
      </c>
      <c r="L40" s="1594">
        <f t="shared" si="36"/>
        <v>17</v>
      </c>
      <c r="M40" s="1621">
        <v>1.0</v>
      </c>
      <c r="N40" s="1669">
        <f t="shared" si="37"/>
        <v>10</v>
      </c>
      <c r="O40" s="1641">
        <v>0.0</v>
      </c>
      <c r="P40" s="1594">
        <f t="shared" si="38"/>
        <v>0</v>
      </c>
      <c r="Q40" s="1621" t="s">
        <v>61</v>
      </c>
      <c r="R40" s="1594">
        <f t="shared" si="39"/>
        <v>0</v>
      </c>
      <c r="S40" s="1597" t="s">
        <v>118</v>
      </c>
      <c r="T40" s="1597" t="s">
        <v>118</v>
      </c>
      <c r="U40" s="1621">
        <v>0.0</v>
      </c>
      <c r="V40" s="1599">
        <f t="shared" si="40"/>
        <v>0</v>
      </c>
    </row>
    <row r="41">
      <c r="A41" s="1638"/>
      <c r="B41" s="1682" t="s">
        <v>305</v>
      </c>
      <c r="C41" s="1619">
        <v>0.0</v>
      </c>
      <c r="D41" s="1640">
        <v>0.0</v>
      </c>
      <c r="E41" s="1619">
        <v>1.0</v>
      </c>
      <c r="F41" s="1594">
        <f t="shared" si="33"/>
        <v>3</v>
      </c>
      <c r="G41" s="1619">
        <v>1.0</v>
      </c>
      <c r="H41" s="1594">
        <f t="shared" si="34"/>
        <v>4</v>
      </c>
      <c r="I41" s="1641">
        <v>0.0</v>
      </c>
      <c r="J41" s="1594">
        <f t="shared" si="35"/>
        <v>0</v>
      </c>
      <c r="K41" s="1621" t="s">
        <v>61</v>
      </c>
      <c r="L41" s="1594">
        <f t="shared" si="36"/>
        <v>0</v>
      </c>
      <c r="M41" s="1621" t="s">
        <v>61</v>
      </c>
      <c r="N41" s="1594">
        <f t="shared" si="37"/>
        <v>0</v>
      </c>
      <c r="O41" s="1641">
        <v>0.0</v>
      </c>
      <c r="P41" s="1594">
        <f t="shared" si="38"/>
        <v>0</v>
      </c>
      <c r="Q41" s="1621" t="s">
        <v>61</v>
      </c>
      <c r="R41" s="1594">
        <f t="shared" si="39"/>
        <v>0</v>
      </c>
      <c r="S41" s="1597" t="s">
        <v>118</v>
      </c>
      <c r="T41" s="1597" t="s">
        <v>118</v>
      </c>
      <c r="U41" s="1621">
        <v>0.0</v>
      </c>
      <c r="V41" s="1599">
        <f t="shared" si="40"/>
        <v>0</v>
      </c>
    </row>
    <row r="42">
      <c r="A42" s="1638"/>
      <c r="B42" s="1683" t="s">
        <v>348</v>
      </c>
      <c r="C42" s="1619">
        <v>0.0</v>
      </c>
      <c r="D42" s="1640">
        <v>0.0</v>
      </c>
      <c r="E42" s="1619">
        <v>1.0</v>
      </c>
      <c r="F42" s="1594">
        <f t="shared" si="33"/>
        <v>3</v>
      </c>
      <c r="G42" s="1619">
        <v>1.0</v>
      </c>
      <c r="H42" s="1594">
        <f t="shared" si="34"/>
        <v>4</v>
      </c>
      <c r="I42" s="1641">
        <v>1.0</v>
      </c>
      <c r="J42" s="1594">
        <f t="shared" si="35"/>
        <v>7</v>
      </c>
      <c r="K42" s="1621">
        <v>1.0</v>
      </c>
      <c r="L42" s="1594">
        <f t="shared" si="36"/>
        <v>8</v>
      </c>
      <c r="M42" s="1621">
        <v>1.0</v>
      </c>
      <c r="N42" s="1594">
        <f t="shared" si="37"/>
        <v>10</v>
      </c>
      <c r="O42" s="1641">
        <v>0.0</v>
      </c>
      <c r="P42" s="1594">
        <f t="shared" si="38"/>
        <v>0</v>
      </c>
      <c r="Q42" s="1621" t="s">
        <v>61</v>
      </c>
      <c r="R42" s="1594">
        <f t="shared" si="39"/>
        <v>0</v>
      </c>
      <c r="S42" s="1597" t="s">
        <v>118</v>
      </c>
      <c r="T42" s="1597" t="s">
        <v>118</v>
      </c>
      <c r="U42" s="1621">
        <v>1.0</v>
      </c>
      <c r="V42" s="1599">
        <f t="shared" si="40"/>
        <v>7</v>
      </c>
    </row>
    <row r="43">
      <c r="A43" s="1638"/>
      <c r="B43" s="1684" t="s">
        <v>375</v>
      </c>
      <c r="C43" s="1619">
        <v>0.0</v>
      </c>
      <c r="D43" s="1640">
        <v>0.0</v>
      </c>
      <c r="E43" s="1619">
        <v>0.0</v>
      </c>
      <c r="F43" s="1594">
        <f t="shared" si="33"/>
        <v>0</v>
      </c>
      <c r="G43" s="1619">
        <v>0.0</v>
      </c>
      <c r="H43" s="1594">
        <f t="shared" si="34"/>
        <v>0</v>
      </c>
      <c r="I43" s="1641">
        <v>0.0</v>
      </c>
      <c r="J43" s="1594">
        <f t="shared" si="35"/>
        <v>0</v>
      </c>
      <c r="K43" s="1621" t="s">
        <v>61</v>
      </c>
      <c r="L43" s="1594">
        <f t="shared" si="36"/>
        <v>0</v>
      </c>
      <c r="M43" s="1621" t="s">
        <v>61</v>
      </c>
      <c r="N43" s="1594">
        <f t="shared" si="37"/>
        <v>0</v>
      </c>
      <c r="O43" s="1641">
        <v>1.0</v>
      </c>
      <c r="P43" s="1594">
        <f t="shared" si="38"/>
        <v>25</v>
      </c>
      <c r="Q43" s="1621">
        <v>1.0</v>
      </c>
      <c r="R43" s="1594">
        <f t="shared" si="39"/>
        <v>33</v>
      </c>
      <c r="S43" s="1597" t="s">
        <v>118</v>
      </c>
      <c r="T43" s="1597" t="s">
        <v>118</v>
      </c>
      <c r="U43" s="1621">
        <v>0.0</v>
      </c>
      <c r="V43" s="1599">
        <f t="shared" si="40"/>
        <v>0</v>
      </c>
    </row>
    <row r="44">
      <c r="A44" s="1656"/>
      <c r="B44" s="1685" t="s">
        <v>36</v>
      </c>
      <c r="C44" s="1619">
        <v>0.0</v>
      </c>
      <c r="D44" s="1640">
        <v>0.0</v>
      </c>
      <c r="E44" s="1619">
        <v>0.0</v>
      </c>
      <c r="F44" s="1594">
        <f t="shared" si="33"/>
        <v>0</v>
      </c>
      <c r="G44" s="1619">
        <v>0.0</v>
      </c>
      <c r="H44" s="1594">
        <f t="shared" si="34"/>
        <v>0</v>
      </c>
      <c r="I44" s="1641">
        <v>0.0</v>
      </c>
      <c r="J44" s="1594">
        <f t="shared" si="35"/>
        <v>0</v>
      </c>
      <c r="K44" s="1621" t="s">
        <v>61</v>
      </c>
      <c r="L44" s="1594">
        <f t="shared" si="36"/>
        <v>0</v>
      </c>
      <c r="M44" s="1621" t="s">
        <v>61</v>
      </c>
      <c r="N44" s="1594">
        <f t="shared" si="37"/>
        <v>0</v>
      </c>
      <c r="O44" s="1641">
        <v>0.0</v>
      </c>
      <c r="P44" s="1594">
        <f t="shared" si="38"/>
        <v>0</v>
      </c>
      <c r="Q44" s="1621" t="s">
        <v>61</v>
      </c>
      <c r="R44" s="1594">
        <f t="shared" si="39"/>
        <v>0</v>
      </c>
      <c r="S44" s="1597" t="s">
        <v>118</v>
      </c>
      <c r="T44" s="1597" t="s">
        <v>118</v>
      </c>
      <c r="U44" s="1621">
        <v>0.0</v>
      </c>
      <c r="V44" s="1599">
        <f t="shared" si="40"/>
        <v>0</v>
      </c>
    </row>
    <row r="45">
      <c r="A45" s="1662" t="s">
        <v>206</v>
      </c>
      <c r="B45" s="1663" t="s">
        <v>589</v>
      </c>
      <c r="C45" s="1633">
        <v>13.0</v>
      </c>
      <c r="D45" s="1634">
        <v>2.0</v>
      </c>
      <c r="E45" s="1580" t="s">
        <v>118</v>
      </c>
      <c r="F45" s="1581"/>
      <c r="G45" s="1581"/>
      <c r="H45" s="1582"/>
      <c r="I45" s="1635">
        <v>4.0</v>
      </c>
      <c r="J45" s="1584">
        <f t="shared" ref="J45:J52" si="41">IF(I45 = "-", 0, ROUND(100*I45/SUM(I$45:I$52),0))</f>
        <v>44</v>
      </c>
      <c r="K45" s="1636">
        <v>3.0</v>
      </c>
      <c r="L45" s="1584">
        <f t="shared" ref="L45:L52" si="42">IF(K45 = "-", 0, ROUND(100*K45/SUM(K$45:K$52),0))</f>
        <v>43</v>
      </c>
      <c r="M45" s="1636">
        <v>3.0</v>
      </c>
      <c r="N45" s="1584">
        <f t="shared" ref="N45:N52" si="43">IF(M45 = "-", 0, ROUND(100*M45/SUM(M$45:M$52),0))</f>
        <v>50</v>
      </c>
      <c r="O45" s="1635">
        <v>0.0</v>
      </c>
      <c r="P45" s="1584">
        <f t="shared" ref="P45:P52" si="44">IF(O45 = "-", 0, ROUND(100*O45/SUM(O$45:O$52),0))</f>
        <v>0</v>
      </c>
      <c r="Q45" s="1636" t="s">
        <v>61</v>
      </c>
      <c r="R45" s="1584">
        <f t="shared" ref="R45:R52" si="45">IF(Q45 = "-", 0, ROUND(100*Q45/SUM(Q$45:Q$52),0))</f>
        <v>0</v>
      </c>
      <c r="S45" s="1635">
        <v>3.0</v>
      </c>
      <c r="T45" s="1637">
        <v>5.0</v>
      </c>
      <c r="U45" s="1636">
        <v>1.0</v>
      </c>
      <c r="V45" s="1589">
        <f t="shared" ref="V45:V52" si="46">IF(U45 = "-", 0, ROUND(100*U45/SUM(U$45:U$52),0))</f>
        <v>100</v>
      </c>
    </row>
    <row r="46">
      <c r="A46" s="1638"/>
      <c r="B46" s="1667" t="s">
        <v>214</v>
      </c>
      <c r="C46" s="1619">
        <v>7.0</v>
      </c>
      <c r="D46" s="1640">
        <v>1.0</v>
      </c>
      <c r="E46" s="1619">
        <v>1.0</v>
      </c>
      <c r="F46" s="1594">
        <f t="shared" ref="F46:F52" si="47">IF(E46 = "-", 0, ROUND(100*E46/SUM(E$46:E$52),0))</f>
        <v>4</v>
      </c>
      <c r="G46" s="1619">
        <v>1.0</v>
      </c>
      <c r="H46" s="1594">
        <f t="shared" ref="H46:H52" si="48">IF(G46 = "-", 0, ROUND(100*G46/SUM(G$46:G$52),0))</f>
        <v>8</v>
      </c>
      <c r="I46" s="1641">
        <v>0.0</v>
      </c>
      <c r="J46" s="1594">
        <f t="shared" si="41"/>
        <v>0</v>
      </c>
      <c r="K46" s="1621" t="s">
        <v>61</v>
      </c>
      <c r="L46" s="1594">
        <f t="shared" si="42"/>
        <v>0</v>
      </c>
      <c r="M46" s="1621" t="s">
        <v>61</v>
      </c>
      <c r="N46" s="1594">
        <f t="shared" si="43"/>
        <v>0</v>
      </c>
      <c r="O46" s="1641">
        <v>0.0</v>
      </c>
      <c r="P46" s="1594">
        <f t="shared" si="44"/>
        <v>0</v>
      </c>
      <c r="Q46" s="1621" t="s">
        <v>61</v>
      </c>
      <c r="R46" s="1594">
        <f t="shared" si="45"/>
        <v>0</v>
      </c>
      <c r="S46" s="1597" t="s">
        <v>118</v>
      </c>
      <c r="T46" s="1597" t="s">
        <v>118</v>
      </c>
      <c r="U46" s="1621">
        <v>0.0</v>
      </c>
      <c r="V46" s="1599">
        <f t="shared" si="46"/>
        <v>0</v>
      </c>
    </row>
    <row r="47">
      <c r="A47" s="1638"/>
      <c r="B47" s="1673" t="s">
        <v>243</v>
      </c>
      <c r="C47" s="1645">
        <v>6.0</v>
      </c>
      <c r="D47" s="1646">
        <v>1.0</v>
      </c>
      <c r="E47" s="1645">
        <v>0.0</v>
      </c>
      <c r="F47" s="1604">
        <f t="shared" si="47"/>
        <v>0</v>
      </c>
      <c r="G47" s="1645" t="s">
        <v>61</v>
      </c>
      <c r="H47" s="1604">
        <f t="shared" si="48"/>
        <v>0</v>
      </c>
      <c r="I47" s="1648">
        <v>1.0</v>
      </c>
      <c r="J47" s="1604">
        <f t="shared" si="41"/>
        <v>11</v>
      </c>
      <c r="K47" s="1647">
        <v>1.0</v>
      </c>
      <c r="L47" s="1604">
        <f t="shared" si="42"/>
        <v>14</v>
      </c>
      <c r="M47" s="1647">
        <v>1.0</v>
      </c>
      <c r="N47" s="1604">
        <f t="shared" si="43"/>
        <v>17</v>
      </c>
      <c r="O47" s="1648">
        <v>1.0</v>
      </c>
      <c r="P47" s="1604">
        <f t="shared" si="44"/>
        <v>50</v>
      </c>
      <c r="Q47" s="1647">
        <v>1.0</v>
      </c>
      <c r="R47" s="1604">
        <f t="shared" si="45"/>
        <v>100</v>
      </c>
      <c r="S47" s="1607" t="s">
        <v>118</v>
      </c>
      <c r="T47" s="1607" t="s">
        <v>118</v>
      </c>
      <c r="U47" s="1647">
        <v>0.0</v>
      </c>
      <c r="V47" s="1609">
        <f t="shared" si="46"/>
        <v>0</v>
      </c>
    </row>
    <row r="48">
      <c r="A48" s="1638"/>
      <c r="B48" s="1665" t="s">
        <v>31</v>
      </c>
      <c r="C48" s="1619">
        <v>6.0</v>
      </c>
      <c r="D48" s="1650">
        <v>1.0</v>
      </c>
      <c r="E48" s="1619">
        <v>14.0</v>
      </c>
      <c r="F48" s="1612">
        <f t="shared" si="47"/>
        <v>61</v>
      </c>
      <c r="G48" s="1619">
        <v>7.0</v>
      </c>
      <c r="H48" s="1612">
        <f t="shared" si="48"/>
        <v>54</v>
      </c>
      <c r="I48" s="1652">
        <v>2.0</v>
      </c>
      <c r="J48" s="1612">
        <f t="shared" si="41"/>
        <v>22</v>
      </c>
      <c r="K48" s="1651">
        <v>1.0</v>
      </c>
      <c r="L48" s="1612">
        <f t="shared" si="42"/>
        <v>14</v>
      </c>
      <c r="M48" s="1651">
        <v>1.0</v>
      </c>
      <c r="N48" s="1612">
        <f t="shared" si="43"/>
        <v>17</v>
      </c>
      <c r="O48" s="1652">
        <v>1.0</v>
      </c>
      <c r="P48" s="1612">
        <f t="shared" si="44"/>
        <v>50</v>
      </c>
      <c r="Q48" s="1651">
        <v>0.0</v>
      </c>
      <c r="R48" s="1612">
        <f t="shared" si="45"/>
        <v>0</v>
      </c>
      <c r="S48" s="1613" t="s">
        <v>118</v>
      </c>
      <c r="T48" s="1613" t="s">
        <v>118</v>
      </c>
      <c r="U48" s="1651">
        <v>0.0</v>
      </c>
      <c r="V48" s="1614">
        <f t="shared" si="46"/>
        <v>0</v>
      </c>
    </row>
    <row r="49">
      <c r="A49" s="1638"/>
      <c r="B49" s="1668" t="s">
        <v>255</v>
      </c>
      <c r="C49" s="1619">
        <v>3.0</v>
      </c>
      <c r="D49" s="1640">
        <v>1.0</v>
      </c>
      <c r="E49" s="1619">
        <v>3.0</v>
      </c>
      <c r="F49" s="1594">
        <f t="shared" si="47"/>
        <v>13</v>
      </c>
      <c r="G49" s="1619">
        <v>1.0</v>
      </c>
      <c r="H49" s="1594">
        <f t="shared" si="48"/>
        <v>8</v>
      </c>
      <c r="I49" s="1641">
        <v>1.0</v>
      </c>
      <c r="J49" s="1594">
        <f t="shared" si="41"/>
        <v>11</v>
      </c>
      <c r="K49" s="1621">
        <v>1.0</v>
      </c>
      <c r="L49" s="1594">
        <f t="shared" si="42"/>
        <v>14</v>
      </c>
      <c r="M49" s="1621">
        <v>0.0</v>
      </c>
      <c r="N49" s="1594">
        <f t="shared" si="43"/>
        <v>0</v>
      </c>
      <c r="O49" s="1641">
        <v>0.0</v>
      </c>
      <c r="P49" s="1594">
        <f t="shared" si="44"/>
        <v>0</v>
      </c>
      <c r="Q49" s="1621" t="s">
        <v>61</v>
      </c>
      <c r="R49" s="1594">
        <f t="shared" si="45"/>
        <v>0</v>
      </c>
      <c r="S49" s="1597" t="s">
        <v>118</v>
      </c>
      <c r="T49" s="1597" t="s">
        <v>118</v>
      </c>
      <c r="U49" s="1621">
        <v>0.0</v>
      </c>
      <c r="V49" s="1599">
        <f t="shared" si="46"/>
        <v>0</v>
      </c>
    </row>
    <row r="50">
      <c r="A50" s="1638"/>
      <c r="B50" s="1675" t="s">
        <v>1303</v>
      </c>
      <c r="C50" s="1619">
        <v>1.0</v>
      </c>
      <c r="D50" s="1640">
        <v>1.0</v>
      </c>
      <c r="E50" s="1621">
        <v>0.0</v>
      </c>
      <c r="F50" s="1594">
        <f t="shared" si="47"/>
        <v>0</v>
      </c>
      <c r="G50" s="1621" t="s">
        <v>61</v>
      </c>
      <c r="H50" s="1594">
        <f t="shared" si="48"/>
        <v>0</v>
      </c>
      <c r="I50" s="1641">
        <v>0.0</v>
      </c>
      <c r="J50" s="1594">
        <f t="shared" si="41"/>
        <v>0</v>
      </c>
      <c r="K50" s="1621" t="s">
        <v>61</v>
      </c>
      <c r="L50" s="1594">
        <f t="shared" si="42"/>
        <v>0</v>
      </c>
      <c r="M50" s="1621" t="s">
        <v>61</v>
      </c>
      <c r="N50" s="1594">
        <f t="shared" si="43"/>
        <v>0</v>
      </c>
      <c r="O50" s="1641">
        <v>0.0</v>
      </c>
      <c r="P50" s="1594">
        <f t="shared" si="44"/>
        <v>0</v>
      </c>
      <c r="Q50" s="1621" t="s">
        <v>61</v>
      </c>
      <c r="R50" s="1594">
        <f t="shared" si="45"/>
        <v>0</v>
      </c>
      <c r="S50" s="1597" t="s">
        <v>118</v>
      </c>
      <c r="T50" s="1597" t="s">
        <v>118</v>
      </c>
      <c r="U50" s="1621">
        <v>0.0</v>
      </c>
      <c r="V50" s="1599">
        <f t="shared" si="46"/>
        <v>0</v>
      </c>
    </row>
    <row r="51">
      <c r="A51" s="1638"/>
      <c r="B51" s="1670" t="s">
        <v>258</v>
      </c>
      <c r="C51" s="1619">
        <v>1.0</v>
      </c>
      <c r="D51" s="1640">
        <v>0.0</v>
      </c>
      <c r="E51" s="1621">
        <v>2.0</v>
      </c>
      <c r="F51" s="1594">
        <f t="shared" si="47"/>
        <v>9</v>
      </c>
      <c r="G51" s="1621">
        <v>2.0</v>
      </c>
      <c r="H51" s="1594">
        <f t="shared" si="48"/>
        <v>15</v>
      </c>
      <c r="I51" s="1641">
        <v>1.0</v>
      </c>
      <c r="J51" s="1594">
        <f t="shared" si="41"/>
        <v>11</v>
      </c>
      <c r="K51" s="1621">
        <v>1.0</v>
      </c>
      <c r="L51" s="1594">
        <f t="shared" si="42"/>
        <v>14</v>
      </c>
      <c r="M51" s="1621">
        <v>1.0</v>
      </c>
      <c r="N51" s="1594">
        <f t="shared" si="43"/>
        <v>17</v>
      </c>
      <c r="O51" s="1641">
        <v>0.0</v>
      </c>
      <c r="P51" s="1594">
        <f t="shared" si="44"/>
        <v>0</v>
      </c>
      <c r="Q51" s="1621" t="s">
        <v>61</v>
      </c>
      <c r="R51" s="1594">
        <f t="shared" si="45"/>
        <v>0</v>
      </c>
      <c r="S51" s="1597" t="s">
        <v>118</v>
      </c>
      <c r="T51" s="1597" t="s">
        <v>118</v>
      </c>
      <c r="U51" s="1621">
        <v>0.0</v>
      </c>
      <c r="V51" s="1599">
        <f t="shared" si="46"/>
        <v>0</v>
      </c>
    </row>
    <row r="52">
      <c r="A52" s="1656"/>
      <c r="B52" s="1686" t="s">
        <v>274</v>
      </c>
      <c r="C52" s="1619">
        <v>1.0</v>
      </c>
      <c r="D52" s="1640">
        <v>0.0</v>
      </c>
      <c r="E52" s="1621">
        <v>3.0</v>
      </c>
      <c r="F52" s="1594">
        <f t="shared" si="47"/>
        <v>13</v>
      </c>
      <c r="G52" s="1621">
        <v>2.0</v>
      </c>
      <c r="H52" s="1594">
        <f t="shared" si="48"/>
        <v>15</v>
      </c>
      <c r="I52" s="1641">
        <v>0.0</v>
      </c>
      <c r="J52" s="1594">
        <f t="shared" si="41"/>
        <v>0</v>
      </c>
      <c r="K52" s="1621" t="s">
        <v>61</v>
      </c>
      <c r="L52" s="1594">
        <f t="shared" si="42"/>
        <v>0</v>
      </c>
      <c r="M52" s="1621" t="s">
        <v>61</v>
      </c>
      <c r="N52" s="1594">
        <f t="shared" si="43"/>
        <v>0</v>
      </c>
      <c r="O52" s="1641">
        <v>0.0</v>
      </c>
      <c r="P52" s="1594">
        <f t="shared" si="44"/>
        <v>0</v>
      </c>
      <c r="Q52" s="1621" t="s">
        <v>61</v>
      </c>
      <c r="R52" s="1594">
        <f t="shared" si="45"/>
        <v>0</v>
      </c>
      <c r="S52" s="1597" t="s">
        <v>118</v>
      </c>
      <c r="T52" s="1597" t="s">
        <v>118</v>
      </c>
      <c r="U52" s="1621">
        <v>0.0</v>
      </c>
      <c r="V52" s="1599">
        <f t="shared" si="46"/>
        <v>0</v>
      </c>
    </row>
    <row r="53">
      <c r="A53" s="1662" t="s">
        <v>1492</v>
      </c>
      <c r="B53" s="1577" t="s">
        <v>589</v>
      </c>
      <c r="C53" s="1633">
        <v>13.0</v>
      </c>
      <c r="D53" s="1634">
        <v>2.0</v>
      </c>
      <c r="E53" s="1580" t="s">
        <v>118</v>
      </c>
      <c r="F53" s="1581"/>
      <c r="G53" s="1581"/>
      <c r="H53" s="1582"/>
      <c r="I53" s="1635">
        <v>2.0</v>
      </c>
      <c r="J53" s="1584">
        <f t="shared" ref="J53:J60" si="49">IF(I53 = "-", 0, ROUND(100*I53/SUM(I$53:I$62),0))</f>
        <v>50</v>
      </c>
      <c r="K53" s="1636">
        <v>2.0</v>
      </c>
      <c r="L53" s="1584">
        <f t="shared" ref="L53:L60" si="50">IF(K53 = "-", 0, ROUND(100*K53/SUM(K$53:K$62),0))</f>
        <v>67</v>
      </c>
      <c r="M53" s="1636">
        <v>2.0</v>
      </c>
      <c r="N53" s="1584">
        <f t="shared" ref="N53:N60" si="51">IF(M53 = "-", 0, ROUND(100*M53/SUM(M$53:M$62),0))</f>
        <v>67</v>
      </c>
      <c r="O53" s="1635">
        <v>0.0</v>
      </c>
      <c r="P53" s="1584">
        <f t="shared" ref="P53:P60" si="52">IF(O53 = "-", 0, ROUND(100*O53/SUM(O$53:O$62),0))</f>
        <v>0</v>
      </c>
      <c r="Q53" s="1636" t="s">
        <v>61</v>
      </c>
      <c r="R53" s="1584">
        <f t="shared" ref="R53:R60" si="53">IF(Q53 = "-", 0, ROUND(100*Q53/SUM(Q$53:Q$62),0))</f>
        <v>0</v>
      </c>
      <c r="S53" s="1635">
        <v>5.0</v>
      </c>
      <c r="T53" s="1637">
        <v>3.0</v>
      </c>
      <c r="U53" s="1636">
        <v>1.0</v>
      </c>
      <c r="V53" s="1589">
        <f t="shared" ref="V53:V60" si="54">IF(U53 = "-", 0, ROUND(100*U53/SUM(U$53:U$62),0))</f>
        <v>100</v>
      </c>
    </row>
    <row r="54">
      <c r="A54" s="1638"/>
      <c r="B54" s="1687" t="s">
        <v>214</v>
      </c>
      <c r="C54" s="1619">
        <v>7.0</v>
      </c>
      <c r="D54" s="1640">
        <v>1.0</v>
      </c>
      <c r="E54" s="1621">
        <v>0.0</v>
      </c>
      <c r="F54" s="1594">
        <f t="shared" ref="F54:F60" si="55">IF(E54 = "-", 0, ROUND(100*E54/SUM(E$53:E$62),0))</f>
        <v>0</v>
      </c>
      <c r="G54" s="1621" t="s">
        <v>61</v>
      </c>
      <c r="H54" s="1594">
        <f t="shared" ref="H54:H60" si="56">IF(G54 = "-", 0, ROUND(100*G54/SUM(G$53:G$62),0))</f>
        <v>0</v>
      </c>
      <c r="I54" s="1641">
        <v>0.0</v>
      </c>
      <c r="J54" s="1594">
        <f t="shared" si="49"/>
        <v>0</v>
      </c>
      <c r="K54" s="1621" t="s">
        <v>61</v>
      </c>
      <c r="L54" s="1594">
        <f t="shared" si="50"/>
        <v>0</v>
      </c>
      <c r="M54" s="1621" t="s">
        <v>61</v>
      </c>
      <c r="N54" s="1594">
        <f t="shared" si="51"/>
        <v>0</v>
      </c>
      <c r="O54" s="1641">
        <v>0.0</v>
      </c>
      <c r="P54" s="1594">
        <f t="shared" si="52"/>
        <v>0</v>
      </c>
      <c r="Q54" s="1621" t="s">
        <v>61</v>
      </c>
      <c r="R54" s="1594">
        <f t="shared" si="53"/>
        <v>0</v>
      </c>
      <c r="S54" s="1597" t="s">
        <v>118</v>
      </c>
      <c r="T54" s="1597" t="s">
        <v>118</v>
      </c>
      <c r="U54" s="1621">
        <v>0.0</v>
      </c>
      <c r="V54" s="1599">
        <f t="shared" si="54"/>
        <v>0</v>
      </c>
    </row>
    <row r="55">
      <c r="A55" s="1638"/>
      <c r="B55" s="1688" t="s">
        <v>31</v>
      </c>
      <c r="C55" s="1645">
        <v>6.0</v>
      </c>
      <c r="D55" s="1646">
        <v>1.0</v>
      </c>
      <c r="E55" s="1647">
        <v>0.0</v>
      </c>
      <c r="F55" s="1604">
        <f t="shared" si="55"/>
        <v>0</v>
      </c>
      <c r="G55" s="1647" t="s">
        <v>61</v>
      </c>
      <c r="H55" s="1604">
        <f t="shared" si="56"/>
        <v>0</v>
      </c>
      <c r="I55" s="1648">
        <v>0.0</v>
      </c>
      <c r="J55" s="1604">
        <f t="shared" si="49"/>
        <v>0</v>
      </c>
      <c r="K55" s="1647" t="s">
        <v>61</v>
      </c>
      <c r="L55" s="1604">
        <f t="shared" si="50"/>
        <v>0</v>
      </c>
      <c r="M55" s="1647" t="s">
        <v>61</v>
      </c>
      <c r="N55" s="1604">
        <f t="shared" si="51"/>
        <v>0</v>
      </c>
      <c r="O55" s="1648">
        <v>0.0</v>
      </c>
      <c r="P55" s="1604">
        <f t="shared" si="52"/>
        <v>0</v>
      </c>
      <c r="Q55" s="1647" t="s">
        <v>61</v>
      </c>
      <c r="R55" s="1604">
        <f t="shared" si="53"/>
        <v>0</v>
      </c>
      <c r="S55" s="1607" t="s">
        <v>118</v>
      </c>
      <c r="T55" s="1607" t="s">
        <v>118</v>
      </c>
      <c r="U55" s="1647">
        <v>0.0</v>
      </c>
      <c r="V55" s="1609">
        <f t="shared" si="54"/>
        <v>0</v>
      </c>
    </row>
    <row r="56">
      <c r="A56" s="1638"/>
      <c r="B56" s="1689" t="s">
        <v>243</v>
      </c>
      <c r="C56" s="1619">
        <v>6.0</v>
      </c>
      <c r="D56" s="1650">
        <v>1.0</v>
      </c>
      <c r="E56" s="1651">
        <v>5.0</v>
      </c>
      <c r="F56" s="1612">
        <f t="shared" si="55"/>
        <v>63</v>
      </c>
      <c r="G56" s="1651">
        <v>4.0</v>
      </c>
      <c r="H56" s="1612">
        <f t="shared" si="56"/>
        <v>80</v>
      </c>
      <c r="I56" s="1652">
        <v>1.0</v>
      </c>
      <c r="J56" s="1612">
        <f t="shared" si="49"/>
        <v>25</v>
      </c>
      <c r="K56" s="1651">
        <v>0.0</v>
      </c>
      <c r="L56" s="1612">
        <f t="shared" si="50"/>
        <v>0</v>
      </c>
      <c r="M56" s="1651" t="s">
        <v>61</v>
      </c>
      <c r="N56" s="1612">
        <f t="shared" si="51"/>
        <v>0</v>
      </c>
      <c r="O56" s="1652">
        <v>1.0</v>
      </c>
      <c r="P56" s="1612">
        <f t="shared" si="52"/>
        <v>50</v>
      </c>
      <c r="Q56" s="1651">
        <v>1.0</v>
      </c>
      <c r="R56" s="1612">
        <f t="shared" si="53"/>
        <v>50</v>
      </c>
      <c r="S56" s="1613" t="s">
        <v>118</v>
      </c>
      <c r="T56" s="1613" t="s">
        <v>118</v>
      </c>
      <c r="U56" s="1651">
        <v>0.0</v>
      </c>
      <c r="V56" s="1614">
        <f t="shared" si="54"/>
        <v>0</v>
      </c>
    </row>
    <row r="57">
      <c r="A57" s="1638"/>
      <c r="B57" s="1690" t="s">
        <v>255</v>
      </c>
      <c r="C57" s="1619">
        <v>3.0</v>
      </c>
      <c r="D57" s="1640">
        <v>1.0</v>
      </c>
      <c r="E57" s="1621">
        <v>1.0</v>
      </c>
      <c r="F57" s="1594">
        <f t="shared" si="55"/>
        <v>13</v>
      </c>
      <c r="G57" s="1621">
        <v>0.0</v>
      </c>
      <c r="H57" s="1594">
        <f t="shared" si="56"/>
        <v>0</v>
      </c>
      <c r="I57" s="1641">
        <v>1.0</v>
      </c>
      <c r="J57" s="1594">
        <f t="shared" si="49"/>
        <v>25</v>
      </c>
      <c r="K57" s="1621">
        <v>1.0</v>
      </c>
      <c r="L57" s="1594">
        <f t="shared" si="50"/>
        <v>33</v>
      </c>
      <c r="M57" s="1621">
        <v>1.0</v>
      </c>
      <c r="N57" s="1594">
        <f t="shared" si="51"/>
        <v>33</v>
      </c>
      <c r="O57" s="1641">
        <v>1.0</v>
      </c>
      <c r="P57" s="1594">
        <f t="shared" si="52"/>
        <v>50</v>
      </c>
      <c r="Q57" s="1621">
        <v>1.0</v>
      </c>
      <c r="R57" s="1594">
        <f t="shared" si="53"/>
        <v>50</v>
      </c>
      <c r="S57" s="1597" t="s">
        <v>118</v>
      </c>
      <c r="T57" s="1597" t="s">
        <v>118</v>
      </c>
      <c r="U57" s="1621">
        <v>0.0</v>
      </c>
      <c r="V57" s="1599">
        <f t="shared" si="54"/>
        <v>0</v>
      </c>
    </row>
    <row r="58">
      <c r="A58" s="1638"/>
      <c r="B58" s="1691" t="s">
        <v>1303</v>
      </c>
      <c r="C58" s="1619">
        <v>1.0</v>
      </c>
      <c r="D58" s="1640">
        <v>1.0</v>
      </c>
      <c r="E58" s="1621">
        <v>0.0</v>
      </c>
      <c r="F58" s="1594">
        <f t="shared" si="55"/>
        <v>0</v>
      </c>
      <c r="G58" s="1621" t="s">
        <v>61</v>
      </c>
      <c r="H58" s="1594">
        <f t="shared" si="56"/>
        <v>0</v>
      </c>
      <c r="I58" s="1641">
        <v>0.0</v>
      </c>
      <c r="J58" s="1594">
        <f t="shared" si="49"/>
        <v>0</v>
      </c>
      <c r="K58" s="1621" t="s">
        <v>61</v>
      </c>
      <c r="L58" s="1594">
        <f t="shared" si="50"/>
        <v>0</v>
      </c>
      <c r="M58" s="1621" t="s">
        <v>61</v>
      </c>
      <c r="N58" s="1594">
        <f t="shared" si="51"/>
        <v>0</v>
      </c>
      <c r="O58" s="1641">
        <v>0.0</v>
      </c>
      <c r="P58" s="1594">
        <f t="shared" si="52"/>
        <v>0</v>
      </c>
      <c r="Q58" s="1621" t="s">
        <v>61</v>
      </c>
      <c r="R58" s="1594">
        <f t="shared" si="53"/>
        <v>0</v>
      </c>
      <c r="S58" s="1597" t="s">
        <v>118</v>
      </c>
      <c r="T58" s="1597" t="s">
        <v>118</v>
      </c>
      <c r="U58" s="1621">
        <v>0.0</v>
      </c>
      <c r="V58" s="1599">
        <f t="shared" si="54"/>
        <v>0</v>
      </c>
    </row>
    <row r="59">
      <c r="A59" s="1638"/>
      <c r="B59" s="1692" t="s">
        <v>258</v>
      </c>
      <c r="C59" s="1619">
        <v>1.0</v>
      </c>
      <c r="D59" s="1640">
        <v>0.0</v>
      </c>
      <c r="E59" s="1621">
        <v>1.0</v>
      </c>
      <c r="F59" s="1594">
        <f t="shared" si="55"/>
        <v>13</v>
      </c>
      <c r="G59" s="1621">
        <v>1.0</v>
      </c>
      <c r="H59" s="1594">
        <f t="shared" si="56"/>
        <v>20</v>
      </c>
      <c r="I59" s="1641">
        <v>0.0</v>
      </c>
      <c r="J59" s="1594">
        <f t="shared" si="49"/>
        <v>0</v>
      </c>
      <c r="K59" s="1621" t="s">
        <v>61</v>
      </c>
      <c r="L59" s="1594">
        <f t="shared" si="50"/>
        <v>0</v>
      </c>
      <c r="M59" s="1621" t="s">
        <v>61</v>
      </c>
      <c r="N59" s="1594">
        <f t="shared" si="51"/>
        <v>0</v>
      </c>
      <c r="O59" s="1641">
        <v>0.0</v>
      </c>
      <c r="P59" s="1594">
        <f t="shared" si="52"/>
        <v>0</v>
      </c>
      <c r="Q59" s="1621" t="s">
        <v>61</v>
      </c>
      <c r="R59" s="1594">
        <f t="shared" si="53"/>
        <v>0</v>
      </c>
      <c r="S59" s="1597" t="s">
        <v>118</v>
      </c>
      <c r="T59" s="1597" t="s">
        <v>118</v>
      </c>
      <c r="U59" s="1621">
        <v>0.0</v>
      </c>
      <c r="V59" s="1599">
        <f t="shared" si="54"/>
        <v>0</v>
      </c>
    </row>
    <row r="60">
      <c r="A60" s="1638"/>
      <c r="B60" s="1693" t="s">
        <v>274</v>
      </c>
      <c r="C60" s="1619">
        <v>1.0</v>
      </c>
      <c r="D60" s="1640">
        <v>0.0</v>
      </c>
      <c r="E60" s="1621">
        <v>0.0</v>
      </c>
      <c r="F60" s="1594">
        <f t="shared" si="55"/>
        <v>0</v>
      </c>
      <c r="G60" s="1621" t="s">
        <v>61</v>
      </c>
      <c r="H60" s="1594">
        <f t="shared" si="56"/>
        <v>0</v>
      </c>
      <c r="I60" s="1641">
        <v>0.0</v>
      </c>
      <c r="J60" s="1594">
        <f t="shared" si="49"/>
        <v>0</v>
      </c>
      <c r="K60" s="1621" t="s">
        <v>61</v>
      </c>
      <c r="L60" s="1594">
        <f t="shared" si="50"/>
        <v>0</v>
      </c>
      <c r="M60" s="1621" t="s">
        <v>61</v>
      </c>
      <c r="N60" s="1594">
        <f t="shared" si="51"/>
        <v>0</v>
      </c>
      <c r="O60" s="1641">
        <v>0.0</v>
      </c>
      <c r="P60" s="1594">
        <f t="shared" si="52"/>
        <v>0</v>
      </c>
      <c r="Q60" s="1621" t="s">
        <v>61</v>
      </c>
      <c r="R60" s="1594">
        <f t="shared" si="53"/>
        <v>0</v>
      </c>
      <c r="S60" s="1597" t="s">
        <v>118</v>
      </c>
      <c r="T60" s="1597" t="s">
        <v>118</v>
      </c>
      <c r="U60" s="1621">
        <v>0.0</v>
      </c>
      <c r="V60" s="1599">
        <f t="shared" si="54"/>
        <v>0</v>
      </c>
    </row>
    <row r="61">
      <c r="A61" s="1638"/>
      <c r="B61" s="1694" t="s">
        <v>1490</v>
      </c>
      <c r="C61" s="1619"/>
      <c r="D61" s="1640"/>
      <c r="E61" s="1621"/>
      <c r="F61" s="1594"/>
      <c r="G61" s="1621"/>
      <c r="H61" s="1594"/>
      <c r="I61" s="1641"/>
      <c r="J61" s="1594"/>
      <c r="K61" s="1621"/>
      <c r="L61" s="1594"/>
      <c r="M61" s="1621"/>
      <c r="N61" s="1594"/>
      <c r="O61" s="1641"/>
      <c r="P61" s="1594"/>
      <c r="Q61" s="1621"/>
      <c r="R61" s="1594"/>
      <c r="S61" s="1678"/>
      <c r="T61" s="1640"/>
      <c r="U61" s="1621"/>
      <c r="V61" s="1599"/>
    </row>
    <row r="62">
      <c r="A62" s="1656"/>
      <c r="B62" s="1695" t="s">
        <v>246</v>
      </c>
      <c r="C62" s="1619">
        <v>0.0</v>
      </c>
      <c r="D62" s="1640">
        <v>0.0</v>
      </c>
      <c r="E62" s="1621">
        <v>1.0</v>
      </c>
      <c r="F62" s="1594">
        <f>IF(E62 = "-", 0, ROUND(100*E62/SUM(E$53:E$62),0))</f>
        <v>13</v>
      </c>
      <c r="G62" s="1621">
        <v>0.0</v>
      </c>
      <c r="H62" s="1594">
        <f>IF(G62 = "-", 0, ROUND(100*G62/SUM(G$53:G$62),0))</f>
        <v>0</v>
      </c>
      <c r="I62" s="1641">
        <v>0.0</v>
      </c>
      <c r="J62" s="1594">
        <f>IF(I62 = "-", 0, ROUND(100*I62/SUM(I$53:I$62),0))</f>
        <v>0</v>
      </c>
      <c r="K62" s="1621" t="s">
        <v>61</v>
      </c>
      <c r="L62" s="1594">
        <f>IF(K62 = "-", 0, ROUND(100*K62/SUM(K$53:K$62),0))</f>
        <v>0</v>
      </c>
      <c r="M62" s="1621" t="s">
        <v>61</v>
      </c>
      <c r="N62" s="1594">
        <f>IF(M62 = "-", 0, ROUND(100*M62/SUM(M$53:M$62),0))</f>
        <v>0</v>
      </c>
      <c r="O62" s="1641">
        <v>0.0</v>
      </c>
      <c r="P62" s="1594">
        <f>IF(O62 = "-", 0, ROUND(100*O62/SUM(O$53:O$62),0))</f>
        <v>0</v>
      </c>
      <c r="Q62" s="1621" t="s">
        <v>61</v>
      </c>
      <c r="R62" s="1594">
        <f>IF(Q62 = "-", 0, ROUND(100*Q62/SUM(Q$53:Q$62),0))</f>
        <v>0</v>
      </c>
      <c r="S62" s="1597" t="s">
        <v>118</v>
      </c>
      <c r="T62" s="1597" t="s">
        <v>118</v>
      </c>
      <c r="U62" s="1621">
        <v>0.0</v>
      </c>
      <c r="V62" s="1599">
        <f>IF(U62 = "-", 0, ROUND(100*U62/SUM(U$53:U$62),0))</f>
        <v>0</v>
      </c>
    </row>
    <row r="63">
      <c r="A63" s="1662" t="s">
        <v>1493</v>
      </c>
      <c r="B63" s="1577" t="s">
        <v>589</v>
      </c>
      <c r="C63" s="1633">
        <v>19.0</v>
      </c>
      <c r="D63" s="1636">
        <v>4.0</v>
      </c>
      <c r="E63" s="1580" t="s">
        <v>118</v>
      </c>
      <c r="F63" s="1581"/>
      <c r="G63" s="1581"/>
      <c r="H63" s="1582"/>
      <c r="I63" s="1636">
        <v>5.0</v>
      </c>
      <c r="J63" s="1584">
        <f t="shared" ref="J63:J73" si="57">IF(I63 = "-", 0, ROUND(100*I63/SUM(I$63:I$73),0))</f>
        <v>83</v>
      </c>
      <c r="K63" s="1636">
        <v>4.0</v>
      </c>
      <c r="L63" s="1584">
        <f t="shared" ref="L63:L73" si="58">IF(K63 = "-", 0, ROUND(100*K63/SUM(K$63:K$73),0))</f>
        <v>80</v>
      </c>
      <c r="M63" s="1636">
        <v>4.0</v>
      </c>
      <c r="N63" s="1584">
        <f t="shared" ref="N63:N73" si="59">IF(M63 = "-", 0, ROUND(100*M63/SUM(M$63:M$73),0))</f>
        <v>80</v>
      </c>
      <c r="O63" s="1635">
        <v>0.0</v>
      </c>
      <c r="P63" s="1580" t="s">
        <v>118</v>
      </c>
      <c r="Q63" s="1581"/>
      <c r="R63" s="1696"/>
      <c r="S63" s="1637">
        <v>7.0</v>
      </c>
      <c r="T63" s="1634">
        <v>0.0</v>
      </c>
      <c r="U63" s="1636">
        <v>0.0</v>
      </c>
      <c r="V63" s="1589">
        <f t="shared" ref="V63:V73" si="60">IF(U63 = "-", 0, ROUND(100*U63/SUM(U$63:U$73),0))</f>
        <v>0</v>
      </c>
    </row>
    <row r="64">
      <c r="A64" s="1638"/>
      <c r="B64" s="1654" t="s">
        <v>214</v>
      </c>
      <c r="C64" s="1619">
        <v>8.0</v>
      </c>
      <c r="D64" s="1640">
        <v>1.0</v>
      </c>
      <c r="E64" s="1621">
        <v>2.0</v>
      </c>
      <c r="F64" s="1594">
        <f t="shared" ref="F64:F73" si="61">IF(E64 = "-", 0, ROUND(100*E64/SUM(E$63:E$73),0))</f>
        <v>10</v>
      </c>
      <c r="G64" s="1621">
        <v>2.0</v>
      </c>
      <c r="H64" s="1594">
        <f t="shared" ref="H64:H73" si="62">IF(G64 = "-", 0, ROUND(100*G64/SUM(G$63:G$73),0))</f>
        <v>22</v>
      </c>
      <c r="I64" s="1641">
        <v>0.0</v>
      </c>
      <c r="J64" s="1594">
        <f t="shared" si="57"/>
        <v>0</v>
      </c>
      <c r="K64" s="1621" t="s">
        <v>61</v>
      </c>
      <c r="L64" s="1594">
        <f t="shared" si="58"/>
        <v>0</v>
      </c>
      <c r="M64" s="1621" t="s">
        <v>61</v>
      </c>
      <c r="N64" s="1594">
        <f t="shared" si="59"/>
        <v>0</v>
      </c>
      <c r="O64" s="1641">
        <v>0.0</v>
      </c>
      <c r="P64" s="1697" t="s">
        <v>118</v>
      </c>
      <c r="Q64" s="1560"/>
      <c r="R64" s="1558"/>
      <c r="S64" s="1597" t="s">
        <v>118</v>
      </c>
      <c r="T64" s="1642" t="s">
        <v>118</v>
      </c>
      <c r="U64" s="1621">
        <v>0.0</v>
      </c>
      <c r="V64" s="1599">
        <f t="shared" si="60"/>
        <v>0</v>
      </c>
    </row>
    <row r="65">
      <c r="A65" s="1638"/>
      <c r="B65" s="1698" t="s">
        <v>1287</v>
      </c>
      <c r="C65" s="1619">
        <v>7.0</v>
      </c>
      <c r="D65" s="1640">
        <v>1.0</v>
      </c>
      <c r="E65" s="1621">
        <v>0.0</v>
      </c>
      <c r="F65" s="1594">
        <f t="shared" si="61"/>
        <v>0</v>
      </c>
      <c r="G65" s="1621" t="s">
        <v>61</v>
      </c>
      <c r="H65" s="1594">
        <f t="shared" si="62"/>
        <v>0</v>
      </c>
      <c r="I65" s="1641">
        <v>0.0</v>
      </c>
      <c r="J65" s="1594">
        <f t="shared" si="57"/>
        <v>0</v>
      </c>
      <c r="K65" s="1621" t="s">
        <v>61</v>
      </c>
      <c r="L65" s="1594">
        <f t="shared" si="58"/>
        <v>0</v>
      </c>
      <c r="M65" s="1621" t="s">
        <v>61</v>
      </c>
      <c r="N65" s="1594">
        <f t="shared" si="59"/>
        <v>0</v>
      </c>
      <c r="O65" s="1641">
        <v>0.0</v>
      </c>
      <c r="P65" s="1697" t="s">
        <v>118</v>
      </c>
      <c r="Q65" s="1560"/>
      <c r="R65" s="1558"/>
      <c r="S65" s="1597" t="s">
        <v>118</v>
      </c>
      <c r="T65" s="1642" t="s">
        <v>118</v>
      </c>
      <c r="U65" s="1621">
        <v>0.0</v>
      </c>
      <c r="V65" s="1599">
        <f t="shared" si="60"/>
        <v>0</v>
      </c>
    </row>
    <row r="66">
      <c r="A66" s="1638"/>
      <c r="B66" s="1699" t="s">
        <v>1289</v>
      </c>
      <c r="C66" s="1619">
        <v>3.0</v>
      </c>
      <c r="D66" s="1640">
        <v>1.0</v>
      </c>
      <c r="E66" s="1621">
        <v>0.0</v>
      </c>
      <c r="F66" s="1594">
        <f t="shared" si="61"/>
        <v>0</v>
      </c>
      <c r="G66" s="1621" t="s">
        <v>61</v>
      </c>
      <c r="H66" s="1594">
        <f t="shared" si="62"/>
        <v>0</v>
      </c>
      <c r="I66" s="1641">
        <v>0.0</v>
      </c>
      <c r="J66" s="1594">
        <f t="shared" si="57"/>
        <v>0</v>
      </c>
      <c r="K66" s="1621" t="s">
        <v>61</v>
      </c>
      <c r="L66" s="1594">
        <f t="shared" si="58"/>
        <v>0</v>
      </c>
      <c r="M66" s="1621" t="s">
        <v>61</v>
      </c>
      <c r="N66" s="1594">
        <f t="shared" si="59"/>
        <v>0</v>
      </c>
      <c r="O66" s="1641">
        <v>0.0</v>
      </c>
      <c r="P66" s="1697" t="s">
        <v>118</v>
      </c>
      <c r="Q66" s="1560"/>
      <c r="R66" s="1558"/>
      <c r="S66" s="1597" t="s">
        <v>118</v>
      </c>
      <c r="T66" s="1642" t="s">
        <v>118</v>
      </c>
      <c r="U66" s="1621">
        <v>0.0</v>
      </c>
      <c r="V66" s="1599">
        <f t="shared" si="60"/>
        <v>0</v>
      </c>
    </row>
    <row r="67">
      <c r="A67" s="1638"/>
      <c r="B67" s="1700" t="s">
        <v>220</v>
      </c>
      <c r="C67" s="1645">
        <v>1.0</v>
      </c>
      <c r="D67" s="1646">
        <v>1.0</v>
      </c>
      <c r="E67" s="1647">
        <v>2.0</v>
      </c>
      <c r="F67" s="1604">
        <f t="shared" si="61"/>
        <v>10</v>
      </c>
      <c r="G67" s="1647">
        <v>1.0</v>
      </c>
      <c r="H67" s="1604">
        <f t="shared" si="62"/>
        <v>11</v>
      </c>
      <c r="I67" s="1648">
        <v>1.0</v>
      </c>
      <c r="J67" s="1604">
        <f t="shared" si="57"/>
        <v>17</v>
      </c>
      <c r="K67" s="1647">
        <v>1.0</v>
      </c>
      <c r="L67" s="1604">
        <f t="shared" si="58"/>
        <v>20</v>
      </c>
      <c r="M67" s="1647">
        <v>1.0</v>
      </c>
      <c r="N67" s="1604">
        <f t="shared" si="59"/>
        <v>20</v>
      </c>
      <c r="O67" s="1648">
        <v>0.0</v>
      </c>
      <c r="P67" s="1701" t="s">
        <v>118</v>
      </c>
      <c r="Q67" s="1702"/>
      <c r="R67" s="1703"/>
      <c r="S67" s="1607" t="s">
        <v>118</v>
      </c>
      <c r="T67" s="1649" t="s">
        <v>118</v>
      </c>
      <c r="U67" s="1647">
        <v>1.0</v>
      </c>
      <c r="V67" s="1609">
        <f t="shared" si="60"/>
        <v>33</v>
      </c>
    </row>
    <row r="68">
      <c r="A68" s="1638"/>
      <c r="B68" s="1610" t="s">
        <v>31</v>
      </c>
      <c r="C68" s="1619">
        <v>4.0</v>
      </c>
      <c r="D68" s="1650">
        <v>1.0</v>
      </c>
      <c r="E68" s="1651">
        <v>9.0</v>
      </c>
      <c r="F68" s="1612">
        <f t="shared" si="61"/>
        <v>45</v>
      </c>
      <c r="G68" s="1651">
        <v>1.0</v>
      </c>
      <c r="H68" s="1612">
        <f t="shared" si="62"/>
        <v>11</v>
      </c>
      <c r="I68" s="1652">
        <v>0.0</v>
      </c>
      <c r="J68" s="1612">
        <f t="shared" si="57"/>
        <v>0</v>
      </c>
      <c r="K68" s="1651" t="s">
        <v>61</v>
      </c>
      <c r="L68" s="1612">
        <f t="shared" si="58"/>
        <v>0</v>
      </c>
      <c r="M68" s="1651" t="s">
        <v>61</v>
      </c>
      <c r="N68" s="1612">
        <f t="shared" si="59"/>
        <v>0</v>
      </c>
      <c r="O68" s="1652">
        <v>0.0</v>
      </c>
      <c r="P68" s="1704" t="s">
        <v>118</v>
      </c>
      <c r="Q68" s="1705"/>
      <c r="R68" s="1706"/>
      <c r="S68" s="1613" t="s">
        <v>118</v>
      </c>
      <c r="T68" s="1653" t="s">
        <v>118</v>
      </c>
      <c r="U68" s="1651">
        <v>2.0</v>
      </c>
      <c r="V68" s="1614">
        <f t="shared" si="60"/>
        <v>67</v>
      </c>
    </row>
    <row r="69">
      <c r="A69" s="1638"/>
      <c r="B69" s="1707" t="s">
        <v>169</v>
      </c>
      <c r="C69" s="1619">
        <v>3.0</v>
      </c>
      <c r="D69" s="1640">
        <v>1.0</v>
      </c>
      <c r="E69" s="1621">
        <v>4.0</v>
      </c>
      <c r="F69" s="1594">
        <f t="shared" si="61"/>
        <v>20</v>
      </c>
      <c r="G69" s="1621">
        <v>4.0</v>
      </c>
      <c r="H69" s="1594">
        <f t="shared" si="62"/>
        <v>44</v>
      </c>
      <c r="I69" s="1641">
        <v>0.0</v>
      </c>
      <c r="J69" s="1594">
        <f t="shared" si="57"/>
        <v>0</v>
      </c>
      <c r="K69" s="1621" t="s">
        <v>61</v>
      </c>
      <c r="L69" s="1594">
        <f t="shared" si="58"/>
        <v>0</v>
      </c>
      <c r="M69" s="1621" t="s">
        <v>61</v>
      </c>
      <c r="N69" s="1594">
        <f t="shared" si="59"/>
        <v>0</v>
      </c>
      <c r="O69" s="1641">
        <v>0.0</v>
      </c>
      <c r="P69" s="1697" t="s">
        <v>118</v>
      </c>
      <c r="Q69" s="1560"/>
      <c r="R69" s="1558"/>
      <c r="S69" s="1597" t="s">
        <v>118</v>
      </c>
      <c r="T69" s="1642" t="s">
        <v>118</v>
      </c>
      <c r="U69" s="1621">
        <v>0.0</v>
      </c>
      <c r="V69" s="1599">
        <f t="shared" si="60"/>
        <v>0</v>
      </c>
    </row>
    <row r="70">
      <c r="A70" s="1638"/>
      <c r="B70" s="1708" t="s">
        <v>228</v>
      </c>
      <c r="C70" s="1619">
        <v>3.0</v>
      </c>
      <c r="D70" s="1640">
        <v>1.0</v>
      </c>
      <c r="E70" s="1621">
        <v>1.0</v>
      </c>
      <c r="F70" s="1594">
        <f t="shared" si="61"/>
        <v>5</v>
      </c>
      <c r="G70" s="1621">
        <v>0.0</v>
      </c>
      <c r="H70" s="1594">
        <f t="shared" si="62"/>
        <v>0</v>
      </c>
      <c r="I70" s="1641">
        <v>0.0</v>
      </c>
      <c r="J70" s="1594">
        <f t="shared" si="57"/>
        <v>0</v>
      </c>
      <c r="K70" s="1621" t="s">
        <v>61</v>
      </c>
      <c r="L70" s="1594">
        <f t="shared" si="58"/>
        <v>0</v>
      </c>
      <c r="M70" s="1621" t="s">
        <v>61</v>
      </c>
      <c r="N70" s="1594">
        <f t="shared" si="59"/>
        <v>0</v>
      </c>
      <c r="O70" s="1641">
        <v>0.0</v>
      </c>
      <c r="P70" s="1697" t="s">
        <v>118</v>
      </c>
      <c r="Q70" s="1560"/>
      <c r="R70" s="1558"/>
      <c r="S70" s="1597" t="s">
        <v>118</v>
      </c>
      <c r="T70" s="1642" t="s">
        <v>118</v>
      </c>
      <c r="U70" s="1621">
        <v>0.0</v>
      </c>
      <c r="V70" s="1599">
        <f t="shared" si="60"/>
        <v>0</v>
      </c>
    </row>
    <row r="71">
      <c r="A71" s="1638"/>
      <c r="B71" s="1709" t="s">
        <v>234</v>
      </c>
      <c r="C71" s="1619">
        <v>3.0</v>
      </c>
      <c r="D71" s="1640">
        <v>1.0</v>
      </c>
      <c r="E71" s="1621">
        <v>2.0</v>
      </c>
      <c r="F71" s="1594">
        <f t="shared" si="61"/>
        <v>10</v>
      </c>
      <c r="G71" s="1621">
        <v>1.0</v>
      </c>
      <c r="H71" s="1594">
        <f t="shared" si="62"/>
        <v>11</v>
      </c>
      <c r="I71" s="1641">
        <v>0.0</v>
      </c>
      <c r="J71" s="1594">
        <f t="shared" si="57"/>
        <v>0</v>
      </c>
      <c r="K71" s="1621" t="s">
        <v>61</v>
      </c>
      <c r="L71" s="1594">
        <f t="shared" si="58"/>
        <v>0</v>
      </c>
      <c r="M71" s="1621" t="s">
        <v>61</v>
      </c>
      <c r="N71" s="1594">
        <f t="shared" si="59"/>
        <v>0</v>
      </c>
      <c r="O71" s="1641">
        <v>0.0</v>
      </c>
      <c r="P71" s="1697" t="s">
        <v>118</v>
      </c>
      <c r="Q71" s="1560"/>
      <c r="R71" s="1558"/>
      <c r="S71" s="1597" t="s">
        <v>118</v>
      </c>
      <c r="T71" s="1642" t="s">
        <v>118</v>
      </c>
      <c r="U71" s="1621">
        <v>0.0</v>
      </c>
      <c r="V71" s="1599">
        <f t="shared" si="60"/>
        <v>0</v>
      </c>
    </row>
    <row r="72">
      <c r="A72" s="1638"/>
      <c r="B72" s="1710" t="s">
        <v>1303</v>
      </c>
      <c r="C72" s="1619">
        <v>2.0</v>
      </c>
      <c r="D72" s="1640">
        <v>1.0</v>
      </c>
      <c r="E72" s="1621">
        <v>0.0</v>
      </c>
      <c r="F72" s="1594">
        <f t="shared" si="61"/>
        <v>0</v>
      </c>
      <c r="G72" s="1621" t="s">
        <v>61</v>
      </c>
      <c r="H72" s="1594">
        <f t="shared" si="62"/>
        <v>0</v>
      </c>
      <c r="I72" s="1641">
        <v>0.0</v>
      </c>
      <c r="J72" s="1594">
        <f t="shared" si="57"/>
        <v>0</v>
      </c>
      <c r="K72" s="1621" t="s">
        <v>61</v>
      </c>
      <c r="L72" s="1594">
        <f t="shared" si="58"/>
        <v>0</v>
      </c>
      <c r="M72" s="1621" t="s">
        <v>61</v>
      </c>
      <c r="N72" s="1594">
        <f t="shared" si="59"/>
        <v>0</v>
      </c>
      <c r="O72" s="1641">
        <v>0.0</v>
      </c>
      <c r="P72" s="1697" t="s">
        <v>118</v>
      </c>
      <c r="Q72" s="1560"/>
      <c r="R72" s="1558"/>
      <c r="S72" s="1597" t="s">
        <v>118</v>
      </c>
      <c r="T72" s="1642" t="s">
        <v>118</v>
      </c>
      <c r="U72" s="1621">
        <v>0.0</v>
      </c>
      <c r="V72" s="1599">
        <f t="shared" si="60"/>
        <v>0</v>
      </c>
    </row>
    <row r="73">
      <c r="A73" s="1711"/>
      <c r="B73" s="1712" t="s">
        <v>1285</v>
      </c>
      <c r="C73" s="1713">
        <v>1.0</v>
      </c>
      <c r="D73" s="1714">
        <v>0.0</v>
      </c>
      <c r="E73" s="1621">
        <v>0.0</v>
      </c>
      <c r="F73" s="1594">
        <f t="shared" si="61"/>
        <v>0</v>
      </c>
      <c r="G73" s="1621" t="s">
        <v>61</v>
      </c>
      <c r="H73" s="1594">
        <f t="shared" si="62"/>
        <v>0</v>
      </c>
      <c r="I73" s="1715">
        <v>0.0</v>
      </c>
      <c r="J73" s="1716">
        <f t="shared" si="57"/>
        <v>0</v>
      </c>
      <c r="K73" s="1717" t="s">
        <v>61</v>
      </c>
      <c r="L73" s="1716">
        <f t="shared" si="58"/>
        <v>0</v>
      </c>
      <c r="M73" s="1717" t="s">
        <v>61</v>
      </c>
      <c r="N73" s="1716">
        <f t="shared" si="59"/>
        <v>0</v>
      </c>
      <c r="O73" s="1715">
        <v>0.0</v>
      </c>
      <c r="P73" s="1718" t="s">
        <v>118</v>
      </c>
      <c r="Q73" s="1719"/>
      <c r="R73" s="1720"/>
      <c r="S73" s="1721" t="s">
        <v>118</v>
      </c>
      <c r="T73" s="1722" t="s">
        <v>118</v>
      </c>
      <c r="U73" s="1717">
        <v>0.0</v>
      </c>
      <c r="V73" s="1723">
        <f t="shared" si="60"/>
        <v>0</v>
      </c>
    </row>
    <row r="74">
      <c r="A74" s="1569" t="s">
        <v>1494</v>
      </c>
      <c r="B74" s="1724" t="s">
        <v>589</v>
      </c>
      <c r="C74" s="1633">
        <v>18.0</v>
      </c>
      <c r="D74" s="1634">
        <v>4.0</v>
      </c>
      <c r="E74" s="1580" t="s">
        <v>118</v>
      </c>
      <c r="F74" s="1581"/>
      <c r="G74" s="1581"/>
      <c r="H74" s="1696"/>
      <c r="I74" s="1635">
        <v>5.0</v>
      </c>
      <c r="J74" s="1584">
        <f t="shared" ref="J74:J85" si="63">IF(I74 = "-", 0, ROUND(100*I74/SUM(I$74:I$85),0))</f>
        <v>56</v>
      </c>
      <c r="K74" s="1636">
        <v>5.0</v>
      </c>
      <c r="L74" s="1584">
        <f t="shared" ref="L74:L85" si="64">IF(K74 = "-", 0, ROUND(100*K74/SUM(K$74:K$85),0))</f>
        <v>56</v>
      </c>
      <c r="M74" s="1636">
        <v>5.0</v>
      </c>
      <c r="N74" s="1584">
        <f t="shared" ref="N74:N85" si="65">IF(M74 = "-", 0, ROUND(100*M74/SUM(M$74:M$85),0))</f>
        <v>63</v>
      </c>
      <c r="O74" s="1635">
        <v>0.0</v>
      </c>
      <c r="P74" s="1584">
        <f t="shared" ref="P74:P85" si="66">IF(O74 = "-", 0, ROUND(100*O74/SUM(O$74:O$85),0))</f>
        <v>0</v>
      </c>
      <c r="Q74" s="1636" t="s">
        <v>61</v>
      </c>
      <c r="R74" s="1584">
        <f t="shared" ref="R74:R85" si="67">IF(Q74 = "-", 0, ROUND(100*Q74/SUM(Q$74:Q$85),0))</f>
        <v>0</v>
      </c>
      <c r="S74" s="1637">
        <v>4.0</v>
      </c>
      <c r="T74" s="1634">
        <v>1.0</v>
      </c>
      <c r="U74" s="1636">
        <v>0.0</v>
      </c>
      <c r="V74" s="1589">
        <f t="shared" ref="V74:V85" si="68">IF(U74 = "-", 0, ROUND(100*U74/SUM(U$74:U$85),0))</f>
        <v>0</v>
      </c>
    </row>
    <row r="75">
      <c r="A75" s="1638"/>
      <c r="B75" s="1725" t="s">
        <v>1287</v>
      </c>
      <c r="C75" s="1619">
        <v>5.0</v>
      </c>
      <c r="D75" s="1640">
        <v>1.0</v>
      </c>
      <c r="E75" s="1621">
        <v>0.0</v>
      </c>
      <c r="F75" s="1594">
        <f t="shared" ref="F75:F85" si="69">IF(E75 = "-", 0, ROUND(100*E75/SUM(E$74:E$85),0))</f>
        <v>0</v>
      </c>
      <c r="G75" s="1621" t="s">
        <v>61</v>
      </c>
      <c r="H75" s="1594">
        <f t="shared" ref="H75:H85" si="70">IF(G75 = "-", 0, ROUND(100*G75/SUM(G$74:G$85),0))</f>
        <v>0</v>
      </c>
      <c r="I75" s="1641">
        <v>0.0</v>
      </c>
      <c r="J75" s="1594">
        <f t="shared" si="63"/>
        <v>0</v>
      </c>
      <c r="K75" s="1621" t="s">
        <v>61</v>
      </c>
      <c r="L75" s="1594">
        <f t="shared" si="64"/>
        <v>0</v>
      </c>
      <c r="M75" s="1621" t="s">
        <v>61</v>
      </c>
      <c r="N75" s="1594">
        <f t="shared" si="65"/>
        <v>0</v>
      </c>
      <c r="O75" s="1641">
        <v>0.0</v>
      </c>
      <c r="P75" s="1594">
        <f t="shared" si="66"/>
        <v>0</v>
      </c>
      <c r="Q75" s="1621" t="s">
        <v>61</v>
      </c>
      <c r="R75" s="1594">
        <f t="shared" si="67"/>
        <v>0</v>
      </c>
      <c r="S75" s="1597" t="s">
        <v>118</v>
      </c>
      <c r="T75" s="1642" t="s">
        <v>118</v>
      </c>
      <c r="U75" s="1621">
        <v>0.0</v>
      </c>
      <c r="V75" s="1599">
        <f t="shared" si="68"/>
        <v>0</v>
      </c>
    </row>
    <row r="76">
      <c r="A76" s="1638"/>
      <c r="B76" s="1726" t="s">
        <v>1289</v>
      </c>
      <c r="C76" s="1619">
        <v>5.0</v>
      </c>
      <c r="D76" s="1640">
        <v>1.0</v>
      </c>
      <c r="E76" s="1621">
        <v>0.0</v>
      </c>
      <c r="F76" s="1594">
        <f t="shared" si="69"/>
        <v>0</v>
      </c>
      <c r="G76" s="1621" t="s">
        <v>61</v>
      </c>
      <c r="H76" s="1594">
        <f t="shared" si="70"/>
        <v>0</v>
      </c>
      <c r="I76" s="1641">
        <v>0.0</v>
      </c>
      <c r="J76" s="1594">
        <f t="shared" si="63"/>
        <v>0</v>
      </c>
      <c r="K76" s="1621" t="s">
        <v>61</v>
      </c>
      <c r="L76" s="1594">
        <f t="shared" si="64"/>
        <v>0</v>
      </c>
      <c r="M76" s="1621" t="s">
        <v>61</v>
      </c>
      <c r="N76" s="1594">
        <f t="shared" si="65"/>
        <v>0</v>
      </c>
      <c r="O76" s="1641">
        <v>0.0</v>
      </c>
      <c r="P76" s="1594">
        <f t="shared" si="66"/>
        <v>0</v>
      </c>
      <c r="Q76" s="1621" t="s">
        <v>61</v>
      </c>
      <c r="R76" s="1594">
        <f t="shared" si="67"/>
        <v>0</v>
      </c>
      <c r="S76" s="1597" t="s">
        <v>118</v>
      </c>
      <c r="T76" s="1642" t="s">
        <v>118</v>
      </c>
      <c r="U76" s="1621">
        <v>0.0</v>
      </c>
      <c r="V76" s="1599">
        <f t="shared" si="68"/>
        <v>0</v>
      </c>
    </row>
    <row r="77">
      <c r="A77" s="1638"/>
      <c r="B77" s="1688" t="s">
        <v>31</v>
      </c>
      <c r="C77" s="1619">
        <v>4.0</v>
      </c>
      <c r="D77" s="1640">
        <v>1.0</v>
      </c>
      <c r="E77" s="1621">
        <v>2.0</v>
      </c>
      <c r="F77" s="1594">
        <f t="shared" si="69"/>
        <v>10</v>
      </c>
      <c r="G77" s="1621">
        <v>0.0</v>
      </c>
      <c r="H77" s="1594">
        <f t="shared" si="70"/>
        <v>0</v>
      </c>
      <c r="I77" s="1641">
        <v>0.0</v>
      </c>
      <c r="J77" s="1594">
        <f t="shared" si="63"/>
        <v>0</v>
      </c>
      <c r="K77" s="1621" t="s">
        <v>61</v>
      </c>
      <c r="L77" s="1594">
        <f t="shared" si="64"/>
        <v>0</v>
      </c>
      <c r="M77" s="1621" t="s">
        <v>61</v>
      </c>
      <c r="N77" s="1594">
        <f t="shared" si="65"/>
        <v>0</v>
      </c>
      <c r="O77" s="1641">
        <v>0.0</v>
      </c>
      <c r="P77" s="1594">
        <f t="shared" si="66"/>
        <v>0</v>
      </c>
      <c r="Q77" s="1621" t="s">
        <v>61</v>
      </c>
      <c r="R77" s="1594">
        <f t="shared" si="67"/>
        <v>0</v>
      </c>
      <c r="S77" s="1597" t="s">
        <v>118</v>
      </c>
      <c r="T77" s="1642" t="s">
        <v>118</v>
      </c>
      <c r="U77" s="1621">
        <v>0.0</v>
      </c>
      <c r="V77" s="1599">
        <f t="shared" si="68"/>
        <v>0</v>
      </c>
    </row>
    <row r="78">
      <c r="A78" s="1638"/>
      <c r="B78" s="1727" t="s">
        <v>175</v>
      </c>
      <c r="C78" s="1645">
        <v>4.0</v>
      </c>
      <c r="D78" s="1646">
        <v>1.0</v>
      </c>
      <c r="E78" s="1647">
        <v>1.0</v>
      </c>
      <c r="F78" s="1604">
        <f t="shared" si="69"/>
        <v>5</v>
      </c>
      <c r="G78" s="1647">
        <v>1.0</v>
      </c>
      <c r="H78" s="1604">
        <f t="shared" si="70"/>
        <v>8</v>
      </c>
      <c r="I78" s="1648">
        <v>1.0</v>
      </c>
      <c r="J78" s="1604">
        <f t="shared" si="63"/>
        <v>11</v>
      </c>
      <c r="K78" s="1647">
        <v>1.0</v>
      </c>
      <c r="L78" s="1604">
        <f t="shared" si="64"/>
        <v>11</v>
      </c>
      <c r="M78" s="1647">
        <v>1.0</v>
      </c>
      <c r="N78" s="1604">
        <f t="shared" si="65"/>
        <v>13</v>
      </c>
      <c r="O78" s="1648">
        <v>1.0</v>
      </c>
      <c r="P78" s="1604">
        <f t="shared" si="66"/>
        <v>25</v>
      </c>
      <c r="Q78" s="1647">
        <v>1.0</v>
      </c>
      <c r="R78" s="1604">
        <f t="shared" si="67"/>
        <v>33</v>
      </c>
      <c r="S78" s="1607" t="s">
        <v>118</v>
      </c>
      <c r="T78" s="1649" t="s">
        <v>118</v>
      </c>
      <c r="U78" s="1647">
        <v>0.0</v>
      </c>
      <c r="V78" s="1609">
        <f t="shared" si="68"/>
        <v>0</v>
      </c>
    </row>
    <row r="79">
      <c r="A79" s="1638"/>
      <c r="B79" s="1728" t="s">
        <v>161</v>
      </c>
      <c r="C79" s="1619">
        <v>4.0</v>
      </c>
      <c r="D79" s="1650">
        <v>1.0</v>
      </c>
      <c r="E79" s="1651">
        <v>11.0</v>
      </c>
      <c r="F79" s="1612">
        <f t="shared" si="69"/>
        <v>55</v>
      </c>
      <c r="G79" s="1651">
        <v>8.0</v>
      </c>
      <c r="H79" s="1612">
        <f t="shared" si="70"/>
        <v>62</v>
      </c>
      <c r="I79" s="1652">
        <v>3.0</v>
      </c>
      <c r="J79" s="1612">
        <f t="shared" si="63"/>
        <v>33</v>
      </c>
      <c r="K79" s="1651">
        <v>3.0</v>
      </c>
      <c r="L79" s="1612">
        <f t="shared" si="64"/>
        <v>33</v>
      </c>
      <c r="M79" s="1651">
        <v>2.0</v>
      </c>
      <c r="N79" s="1612">
        <f t="shared" si="65"/>
        <v>25</v>
      </c>
      <c r="O79" s="1652">
        <v>2.0</v>
      </c>
      <c r="P79" s="1612">
        <f t="shared" si="66"/>
        <v>50</v>
      </c>
      <c r="Q79" s="1651">
        <v>1.0</v>
      </c>
      <c r="R79" s="1612">
        <f t="shared" si="67"/>
        <v>33</v>
      </c>
      <c r="S79" s="1613" t="s">
        <v>118</v>
      </c>
      <c r="T79" s="1653" t="s">
        <v>118</v>
      </c>
      <c r="U79" s="1651">
        <v>0.0</v>
      </c>
      <c r="V79" s="1614">
        <f t="shared" si="68"/>
        <v>0</v>
      </c>
    </row>
    <row r="80">
      <c r="A80" s="1638"/>
      <c r="B80" s="1729" t="s">
        <v>169</v>
      </c>
      <c r="C80" s="1619">
        <v>3.0</v>
      </c>
      <c r="D80" s="1640">
        <v>1.0</v>
      </c>
      <c r="E80" s="1621">
        <v>5.0</v>
      </c>
      <c r="F80" s="1594">
        <f t="shared" si="69"/>
        <v>25</v>
      </c>
      <c r="G80" s="1621">
        <v>3.0</v>
      </c>
      <c r="H80" s="1594">
        <f t="shared" si="70"/>
        <v>23</v>
      </c>
      <c r="I80" s="1641">
        <v>0.0</v>
      </c>
      <c r="J80" s="1594">
        <f t="shared" si="63"/>
        <v>0</v>
      </c>
      <c r="K80" s="1621" t="s">
        <v>61</v>
      </c>
      <c r="L80" s="1594">
        <f t="shared" si="64"/>
        <v>0</v>
      </c>
      <c r="M80" s="1621" t="s">
        <v>61</v>
      </c>
      <c r="N80" s="1594">
        <f t="shared" si="65"/>
        <v>0</v>
      </c>
      <c r="O80" s="1641">
        <v>1.0</v>
      </c>
      <c r="P80" s="1594">
        <f t="shared" si="66"/>
        <v>25</v>
      </c>
      <c r="Q80" s="1621">
        <v>1.0</v>
      </c>
      <c r="R80" s="1594">
        <f t="shared" si="67"/>
        <v>33</v>
      </c>
      <c r="S80" s="1597" t="s">
        <v>118</v>
      </c>
      <c r="T80" s="1642" t="s">
        <v>118</v>
      </c>
      <c r="U80" s="1621">
        <v>1.0</v>
      </c>
      <c r="V80" s="1599">
        <f t="shared" si="68"/>
        <v>100</v>
      </c>
    </row>
    <row r="81">
      <c r="A81" s="1638"/>
      <c r="B81" s="1730" t="s">
        <v>228</v>
      </c>
      <c r="C81" s="1619">
        <v>3.0</v>
      </c>
      <c r="D81" s="1640">
        <v>1.0</v>
      </c>
      <c r="E81" s="1621">
        <v>0.0</v>
      </c>
      <c r="F81" s="1594">
        <f t="shared" si="69"/>
        <v>0</v>
      </c>
      <c r="G81" s="1621" t="s">
        <v>61</v>
      </c>
      <c r="H81" s="1594">
        <f t="shared" si="70"/>
        <v>0</v>
      </c>
      <c r="I81" s="1641">
        <v>0.0</v>
      </c>
      <c r="J81" s="1594">
        <f t="shared" si="63"/>
        <v>0</v>
      </c>
      <c r="K81" s="1621" t="s">
        <v>61</v>
      </c>
      <c r="L81" s="1594">
        <f t="shared" si="64"/>
        <v>0</v>
      </c>
      <c r="M81" s="1621" t="s">
        <v>61</v>
      </c>
      <c r="N81" s="1594">
        <f t="shared" si="65"/>
        <v>0</v>
      </c>
      <c r="O81" s="1641">
        <v>0.0</v>
      </c>
      <c r="P81" s="1594">
        <f t="shared" si="66"/>
        <v>0</v>
      </c>
      <c r="Q81" s="1621" t="s">
        <v>61</v>
      </c>
      <c r="R81" s="1594">
        <f t="shared" si="67"/>
        <v>0</v>
      </c>
      <c r="S81" s="1597" t="s">
        <v>118</v>
      </c>
      <c r="T81" s="1642" t="s">
        <v>118</v>
      </c>
      <c r="U81" s="1621">
        <v>0.0</v>
      </c>
      <c r="V81" s="1599">
        <f t="shared" si="68"/>
        <v>0</v>
      </c>
    </row>
    <row r="82">
      <c r="A82" s="1638"/>
      <c r="B82" s="1731" t="s">
        <v>234</v>
      </c>
      <c r="C82" s="1619">
        <v>3.0</v>
      </c>
      <c r="D82" s="1640">
        <v>1.0</v>
      </c>
      <c r="E82" s="1621">
        <v>0.0</v>
      </c>
      <c r="F82" s="1594">
        <f t="shared" si="69"/>
        <v>0</v>
      </c>
      <c r="G82" s="1621" t="s">
        <v>61</v>
      </c>
      <c r="H82" s="1594">
        <f t="shared" si="70"/>
        <v>0</v>
      </c>
      <c r="I82" s="1641">
        <v>0.0</v>
      </c>
      <c r="J82" s="1594">
        <f t="shared" si="63"/>
        <v>0</v>
      </c>
      <c r="K82" s="1621" t="s">
        <v>61</v>
      </c>
      <c r="L82" s="1594">
        <f t="shared" si="64"/>
        <v>0</v>
      </c>
      <c r="M82" s="1621" t="s">
        <v>61</v>
      </c>
      <c r="N82" s="1594">
        <f t="shared" si="65"/>
        <v>0</v>
      </c>
      <c r="O82" s="1641">
        <v>0.0</v>
      </c>
      <c r="P82" s="1594">
        <f t="shared" si="66"/>
        <v>0</v>
      </c>
      <c r="Q82" s="1621" t="s">
        <v>61</v>
      </c>
      <c r="R82" s="1594">
        <f t="shared" si="67"/>
        <v>0</v>
      </c>
      <c r="S82" s="1597" t="s">
        <v>118</v>
      </c>
      <c r="T82" s="1642" t="s">
        <v>118</v>
      </c>
      <c r="U82" s="1621">
        <v>0.0</v>
      </c>
      <c r="V82" s="1599">
        <f t="shared" si="68"/>
        <v>0</v>
      </c>
    </row>
    <row r="83">
      <c r="A83" s="1638"/>
      <c r="B83" s="1732" t="s">
        <v>1303</v>
      </c>
      <c r="C83" s="1619">
        <v>2.0</v>
      </c>
      <c r="D83" s="1640">
        <v>1.0</v>
      </c>
      <c r="E83" s="1621">
        <v>0.0</v>
      </c>
      <c r="F83" s="1594">
        <f t="shared" si="69"/>
        <v>0</v>
      </c>
      <c r="G83" s="1621" t="s">
        <v>61</v>
      </c>
      <c r="H83" s="1594">
        <f t="shared" si="70"/>
        <v>0</v>
      </c>
      <c r="I83" s="1641">
        <v>0.0</v>
      </c>
      <c r="J83" s="1594">
        <f t="shared" si="63"/>
        <v>0</v>
      </c>
      <c r="K83" s="1621" t="s">
        <v>61</v>
      </c>
      <c r="L83" s="1594">
        <f t="shared" si="64"/>
        <v>0</v>
      </c>
      <c r="M83" s="1621" t="s">
        <v>61</v>
      </c>
      <c r="N83" s="1594">
        <f t="shared" si="65"/>
        <v>0</v>
      </c>
      <c r="O83" s="1641">
        <v>0.0</v>
      </c>
      <c r="P83" s="1594">
        <f t="shared" si="66"/>
        <v>0</v>
      </c>
      <c r="Q83" s="1621" t="s">
        <v>61</v>
      </c>
      <c r="R83" s="1594">
        <f t="shared" si="67"/>
        <v>0</v>
      </c>
      <c r="S83" s="1597" t="s">
        <v>118</v>
      </c>
      <c r="T83" s="1642" t="s">
        <v>118</v>
      </c>
      <c r="U83" s="1621">
        <v>0.0</v>
      </c>
      <c r="V83" s="1599">
        <f t="shared" si="68"/>
        <v>0</v>
      </c>
    </row>
    <row r="84">
      <c r="A84" s="1638"/>
      <c r="B84" s="1733" t="s">
        <v>200</v>
      </c>
      <c r="C84" s="1619">
        <v>1.0</v>
      </c>
      <c r="D84" s="1640">
        <v>1.0</v>
      </c>
      <c r="E84" s="1621">
        <v>1.0</v>
      </c>
      <c r="F84" s="1594">
        <f t="shared" si="69"/>
        <v>5</v>
      </c>
      <c r="G84" s="1621">
        <v>1.0</v>
      </c>
      <c r="H84" s="1669">
        <f t="shared" si="70"/>
        <v>8</v>
      </c>
      <c r="I84" s="1621">
        <v>0.0</v>
      </c>
      <c r="J84" s="1594">
        <f t="shared" si="63"/>
        <v>0</v>
      </c>
      <c r="K84" s="1621" t="s">
        <v>61</v>
      </c>
      <c r="L84" s="1594">
        <f t="shared" si="64"/>
        <v>0</v>
      </c>
      <c r="M84" s="1621" t="s">
        <v>61</v>
      </c>
      <c r="N84" s="1594">
        <f t="shared" si="65"/>
        <v>0</v>
      </c>
      <c r="O84" s="1641">
        <v>0.0</v>
      </c>
      <c r="P84" s="1594">
        <f t="shared" si="66"/>
        <v>0</v>
      </c>
      <c r="Q84" s="1621" t="s">
        <v>61</v>
      </c>
      <c r="R84" s="1594">
        <f t="shared" si="67"/>
        <v>0</v>
      </c>
      <c r="S84" s="1597" t="s">
        <v>118</v>
      </c>
      <c r="T84" s="1642" t="s">
        <v>118</v>
      </c>
      <c r="U84" s="1621">
        <v>0.0</v>
      </c>
      <c r="V84" s="1599">
        <f t="shared" si="68"/>
        <v>0</v>
      </c>
    </row>
    <row r="85">
      <c r="A85" s="1711"/>
      <c r="B85" s="1734" t="s">
        <v>1285</v>
      </c>
      <c r="C85" s="1713">
        <v>1.0</v>
      </c>
      <c r="D85" s="1714">
        <v>0.0</v>
      </c>
      <c r="E85" s="1717">
        <v>0.0</v>
      </c>
      <c r="F85" s="1716">
        <f t="shared" si="69"/>
        <v>0</v>
      </c>
      <c r="G85" s="1717" t="s">
        <v>61</v>
      </c>
      <c r="H85" s="1735">
        <f t="shared" si="70"/>
        <v>0</v>
      </c>
      <c r="I85" s="1717">
        <v>0.0</v>
      </c>
      <c r="J85" s="1716">
        <f t="shared" si="63"/>
        <v>0</v>
      </c>
      <c r="K85" s="1717" t="s">
        <v>61</v>
      </c>
      <c r="L85" s="1716">
        <f t="shared" si="64"/>
        <v>0</v>
      </c>
      <c r="M85" s="1717" t="s">
        <v>61</v>
      </c>
      <c r="N85" s="1735">
        <f t="shared" si="65"/>
        <v>0</v>
      </c>
      <c r="O85" s="1717">
        <v>0.0</v>
      </c>
      <c r="P85" s="1716">
        <f t="shared" si="66"/>
        <v>0</v>
      </c>
      <c r="Q85" s="1717" t="s">
        <v>61</v>
      </c>
      <c r="R85" s="1716">
        <f t="shared" si="67"/>
        <v>0</v>
      </c>
      <c r="S85" s="1721" t="s">
        <v>118</v>
      </c>
      <c r="T85" s="1722" t="s">
        <v>118</v>
      </c>
      <c r="U85" s="1717">
        <v>0.0</v>
      </c>
      <c r="V85" s="1723">
        <f t="shared" si="68"/>
        <v>0</v>
      </c>
    </row>
  </sheetData>
  <mergeCells count="34">
    <mergeCell ref="A1:B1"/>
    <mergeCell ref="C1:D1"/>
    <mergeCell ref="I1:M1"/>
    <mergeCell ref="O1:Q1"/>
    <mergeCell ref="U1:V1"/>
    <mergeCell ref="A2:B2"/>
    <mergeCell ref="A3:A11"/>
    <mergeCell ref="A29:A44"/>
    <mergeCell ref="A45:A52"/>
    <mergeCell ref="A53:A62"/>
    <mergeCell ref="A63:A73"/>
    <mergeCell ref="A74:A85"/>
    <mergeCell ref="E1:H1"/>
    <mergeCell ref="E3:H3"/>
    <mergeCell ref="A12:A19"/>
    <mergeCell ref="E12:H12"/>
    <mergeCell ref="A20:A28"/>
    <mergeCell ref="E20:H20"/>
    <mergeCell ref="E29:H29"/>
    <mergeCell ref="P67:R67"/>
    <mergeCell ref="P68:R68"/>
    <mergeCell ref="P69:R69"/>
    <mergeCell ref="P70:R70"/>
    <mergeCell ref="P71:R71"/>
    <mergeCell ref="P72:R72"/>
    <mergeCell ref="P73:R73"/>
    <mergeCell ref="E74:H74"/>
    <mergeCell ref="E45:H45"/>
    <mergeCell ref="E53:H53"/>
    <mergeCell ref="E63:H63"/>
    <mergeCell ref="P63:R63"/>
    <mergeCell ref="P64:R64"/>
    <mergeCell ref="P65:R65"/>
    <mergeCell ref="P66:R66"/>
  </mergeCells>
  <printOptions/>
  <pageMargins bottom="0.984027777777778" footer="0.0" header="0.0" left="0.747916666666667" right="0.747916666666667" top="0.984027777777778"/>
  <pageSetup paperSize="9" orientation="portrait"/>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AA84F"/>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0" max="10" width="7.29"/>
    <col customWidth="1" min="11" max="11" width="0.86"/>
    <col customWidth="1" min="12" max="12" width="7.29"/>
    <col customWidth="1" min="17" max="17" width="0.86"/>
    <col customWidth="1" min="24" max="24" width="0.86"/>
    <col customWidth="1" min="30" max="30" width="0.86"/>
    <col customWidth="1" min="37" max="37" width="7.29"/>
    <col customWidth="1" min="38" max="38" width="0.86"/>
    <col customWidth="1" min="39" max="39" width="7.29"/>
    <col customWidth="1" min="46" max="46" width="0.86"/>
    <col customWidth="1" min="54" max="54" width="0.86"/>
    <col customWidth="1" min="59" max="59" width="7.29"/>
    <col customWidth="1" min="60" max="60" width="0.86"/>
    <col customWidth="1" min="61" max="61" width="7.29"/>
    <col customWidth="1" min="68" max="68" width="0.86"/>
    <col customWidth="1" min="74" max="74" width="7.29"/>
    <col customWidth="1" min="75" max="75" width="0.86"/>
    <col customWidth="1" min="76" max="76" width="7.29"/>
  </cols>
  <sheetData>
    <row r="1">
      <c r="A1" s="1736" t="s">
        <v>1495</v>
      </c>
      <c r="B1" s="1737"/>
      <c r="C1" s="1738" t="s">
        <v>74</v>
      </c>
      <c r="D1" s="1739"/>
      <c r="E1" s="1740" t="s">
        <v>1022</v>
      </c>
      <c r="F1" s="131"/>
      <c r="G1" s="131"/>
      <c r="H1" s="131"/>
      <c r="I1" s="1741" t="s">
        <v>1023</v>
      </c>
      <c r="J1" s="131"/>
      <c r="K1" s="131"/>
      <c r="L1" s="131"/>
      <c r="M1" s="131"/>
      <c r="N1" s="1742"/>
      <c r="O1" s="1742"/>
      <c r="P1" s="1743" t="s">
        <v>1024</v>
      </c>
      <c r="Q1" s="131"/>
      <c r="R1" s="131"/>
      <c r="S1" s="1742"/>
      <c r="T1" s="1742"/>
      <c r="U1" s="1742"/>
      <c r="V1" s="1742"/>
      <c r="W1" s="1744" t="s">
        <v>1025</v>
      </c>
      <c r="X1" s="131"/>
      <c r="Y1" s="131"/>
      <c r="Z1" s="1745"/>
      <c r="AA1" s="1742"/>
      <c r="AB1" s="1742"/>
      <c r="AC1" s="1743" t="s">
        <v>1026</v>
      </c>
      <c r="AD1" s="131"/>
      <c r="AE1" s="131"/>
      <c r="AF1" s="1746"/>
      <c r="AG1" s="1742"/>
      <c r="AH1" s="1742"/>
      <c r="AI1" s="1747"/>
      <c r="AJ1" s="1748" t="s">
        <v>1027</v>
      </c>
      <c r="AK1" s="1139"/>
      <c r="AL1" s="1139"/>
      <c r="AM1" s="1139"/>
      <c r="AN1" s="1137"/>
      <c r="AO1" s="1749"/>
      <c r="AP1" s="1749"/>
      <c r="AQ1" s="1749"/>
      <c r="AR1" s="1749"/>
      <c r="AS1" s="1750" t="s">
        <v>1028</v>
      </c>
      <c r="AT1" s="1139"/>
      <c r="AU1" s="1137"/>
      <c r="AV1" s="1751"/>
      <c r="AW1" s="1749"/>
      <c r="AX1" s="1749"/>
      <c r="AY1" s="1749"/>
      <c r="AZ1" s="1749"/>
      <c r="BA1" s="1752" t="s">
        <v>1029</v>
      </c>
      <c r="BB1" s="1139"/>
      <c r="BC1" s="1137"/>
      <c r="BD1" s="1749"/>
      <c r="BE1" s="1749"/>
      <c r="BF1" s="1748" t="s">
        <v>1030</v>
      </c>
      <c r="BG1" s="1139"/>
      <c r="BH1" s="1139"/>
      <c r="BI1" s="1139"/>
      <c r="BJ1" s="1137"/>
      <c r="BK1" s="1749"/>
      <c r="BL1" s="1749"/>
      <c r="BM1" s="1749"/>
      <c r="BN1" s="1749"/>
      <c r="BO1" s="1753" t="s">
        <v>1031</v>
      </c>
      <c r="BP1" s="1139"/>
      <c r="BQ1" s="1137"/>
      <c r="BR1" s="1749"/>
      <c r="BS1" s="1749"/>
      <c r="BT1" s="1754"/>
      <c r="BU1" s="1755" t="s">
        <v>79</v>
      </c>
      <c r="BZ1" s="1754"/>
      <c r="CA1" s="1754"/>
      <c r="CB1" s="1754"/>
    </row>
    <row r="2">
      <c r="B2" s="1737"/>
      <c r="D2" s="1739"/>
      <c r="E2" s="1756">
        <v>2015.0</v>
      </c>
      <c r="F2" s="1757"/>
      <c r="G2" s="1757"/>
      <c r="H2" s="1757"/>
      <c r="I2" s="1757"/>
      <c r="J2" s="1758"/>
      <c r="K2" s="1759"/>
      <c r="L2" s="1760"/>
      <c r="M2" s="1757"/>
      <c r="N2" s="1761">
        <v>2016.0</v>
      </c>
      <c r="O2" s="1757"/>
      <c r="P2" s="1757"/>
      <c r="Q2" s="1762"/>
      <c r="R2" s="1757"/>
      <c r="S2" s="1757"/>
      <c r="T2" s="1757"/>
      <c r="U2" s="1757"/>
      <c r="V2" s="1757"/>
      <c r="W2" s="1757"/>
      <c r="X2" s="1762"/>
      <c r="Y2" s="1757"/>
      <c r="Z2" s="1757"/>
      <c r="AA2" s="1757"/>
      <c r="AB2" s="1761">
        <v>2017.0</v>
      </c>
      <c r="AC2" s="1757"/>
      <c r="AD2" s="1762"/>
      <c r="AE2" s="1757"/>
      <c r="AF2" s="1757"/>
      <c r="AG2" s="1757"/>
      <c r="AH2" s="1757"/>
      <c r="AI2" s="1763"/>
      <c r="AJ2" s="1763"/>
      <c r="AK2" s="1763"/>
      <c r="AL2" s="1764"/>
      <c r="AM2" s="1763"/>
      <c r="AN2" s="1763"/>
      <c r="AO2" s="1763"/>
      <c r="AP2" s="1763"/>
      <c r="AQ2" s="1765">
        <v>2018.0</v>
      </c>
      <c r="AR2" s="1763"/>
      <c r="AS2" s="1763"/>
      <c r="AT2" s="1764"/>
      <c r="AU2" s="1763"/>
      <c r="AV2" s="1763"/>
      <c r="AW2" s="1763"/>
      <c r="AX2" s="1763"/>
      <c r="AY2" s="1763"/>
      <c r="AZ2" s="1763"/>
      <c r="BA2" s="1763"/>
      <c r="BB2" s="1764"/>
      <c r="BC2" s="1763"/>
      <c r="BD2" s="1763"/>
      <c r="BE2" s="1765">
        <v>2019.0</v>
      </c>
      <c r="BF2" s="1763"/>
      <c r="BG2" s="1763"/>
      <c r="BH2" s="1764"/>
      <c r="BI2" s="1763"/>
      <c r="BJ2" s="1763"/>
      <c r="BK2" s="1763"/>
      <c r="BL2" s="1763"/>
      <c r="BM2" s="1763"/>
      <c r="BN2" s="1763"/>
      <c r="BO2" s="1763"/>
      <c r="BP2" s="1764"/>
      <c r="BQ2" s="1763"/>
      <c r="BR2" s="1763"/>
      <c r="BS2" s="1763"/>
      <c r="BT2" s="1765">
        <v>2020.0</v>
      </c>
      <c r="BU2" s="1765"/>
      <c r="BV2" s="1765"/>
      <c r="BW2" s="1766"/>
      <c r="BX2" s="1765"/>
      <c r="BY2" s="1765"/>
      <c r="BZ2" s="1765"/>
      <c r="CA2" s="1765"/>
      <c r="CB2" s="1765"/>
    </row>
    <row r="3">
      <c r="A3" s="1767" t="s">
        <v>1496</v>
      </c>
      <c r="B3" s="1737"/>
      <c r="C3" s="1768" t="s">
        <v>1497</v>
      </c>
      <c r="D3" s="1739"/>
      <c r="E3" s="1769" t="s">
        <v>1032</v>
      </c>
      <c r="F3" s="1770" t="s">
        <v>1033</v>
      </c>
      <c r="G3" s="1770" t="s">
        <v>1034</v>
      </c>
      <c r="H3" s="1770" t="s">
        <v>1035</v>
      </c>
      <c r="I3" s="1770" t="s">
        <v>1036</v>
      </c>
      <c r="J3" s="1771" t="s">
        <v>1498</v>
      </c>
      <c r="K3" s="1772"/>
      <c r="L3" s="1773"/>
      <c r="M3" s="1770" t="s">
        <v>1038</v>
      </c>
      <c r="N3" s="1770" t="s">
        <v>1039</v>
      </c>
      <c r="O3" s="1770" t="s">
        <v>1040</v>
      </c>
      <c r="P3" s="1770" t="s">
        <v>1041</v>
      </c>
      <c r="Q3" s="1774"/>
      <c r="R3" s="1770" t="s">
        <v>1042</v>
      </c>
      <c r="S3" s="1770" t="s">
        <v>1043</v>
      </c>
      <c r="T3" s="1770" t="s">
        <v>1032</v>
      </c>
      <c r="U3" s="1770" t="s">
        <v>1033</v>
      </c>
      <c r="V3" s="1770" t="s">
        <v>1034</v>
      </c>
      <c r="W3" s="1770" t="s">
        <v>1035</v>
      </c>
      <c r="X3" s="1774"/>
      <c r="Y3" s="1770" t="s">
        <v>1036</v>
      </c>
      <c r="Z3" s="1770" t="s">
        <v>1037</v>
      </c>
      <c r="AA3" s="1770" t="s">
        <v>1038</v>
      </c>
      <c r="AB3" s="1770" t="s">
        <v>1039</v>
      </c>
      <c r="AC3" s="1770" t="s">
        <v>1040</v>
      </c>
      <c r="AD3" s="1775"/>
      <c r="AE3" s="1770" t="s">
        <v>1041</v>
      </c>
      <c r="AF3" s="1770" t="s">
        <v>1042</v>
      </c>
      <c r="AG3" s="1770" t="s">
        <v>1043</v>
      </c>
      <c r="AH3" s="1770" t="s">
        <v>1032</v>
      </c>
      <c r="AI3" s="1770" t="s">
        <v>1033</v>
      </c>
      <c r="AJ3" s="1770" t="s">
        <v>1034</v>
      </c>
      <c r="AK3" s="1776" t="s">
        <v>1499</v>
      </c>
      <c r="AL3" s="1775"/>
      <c r="AM3" s="1770"/>
      <c r="AN3" s="1770" t="s">
        <v>1036</v>
      </c>
      <c r="AO3" s="1770" t="s">
        <v>1037</v>
      </c>
      <c r="AP3" s="1770" t="s">
        <v>1038</v>
      </c>
      <c r="AQ3" s="1770" t="s">
        <v>1039</v>
      </c>
      <c r="AR3" s="1770" t="s">
        <v>1040</v>
      </c>
      <c r="AS3" s="1770" t="s">
        <v>1041</v>
      </c>
      <c r="AT3" s="1775"/>
      <c r="AU3" s="1770" t="s">
        <v>1042</v>
      </c>
      <c r="AV3" s="1770" t="s">
        <v>1043</v>
      </c>
      <c r="AW3" s="1770" t="s">
        <v>1032</v>
      </c>
      <c r="AX3" s="1770" t="s">
        <v>1033</v>
      </c>
      <c r="AY3" s="1770" t="s">
        <v>1034</v>
      </c>
      <c r="AZ3" s="1770" t="s">
        <v>1035</v>
      </c>
      <c r="BA3" s="1770" t="s">
        <v>1036</v>
      </c>
      <c r="BB3" s="1774"/>
      <c r="BC3" s="1770" t="s">
        <v>1037</v>
      </c>
      <c r="BD3" s="1770" t="s">
        <v>1038</v>
      </c>
      <c r="BE3" s="1770" t="s">
        <v>1039</v>
      </c>
      <c r="BF3" s="1770" t="s">
        <v>1040</v>
      </c>
      <c r="BG3" s="1776" t="s">
        <v>1500</v>
      </c>
      <c r="BH3" s="1775"/>
      <c r="BI3" s="1770"/>
      <c r="BJ3" s="1770" t="s">
        <v>1042</v>
      </c>
      <c r="BK3" s="1770" t="s">
        <v>1043</v>
      </c>
      <c r="BL3" s="1770" t="s">
        <v>1032</v>
      </c>
      <c r="BM3" s="1770" t="s">
        <v>1033</v>
      </c>
      <c r="BN3" s="1770" t="s">
        <v>1034</v>
      </c>
      <c r="BO3" s="1770" t="s">
        <v>1035</v>
      </c>
      <c r="BP3" s="1774"/>
      <c r="BQ3" s="1770" t="s">
        <v>1036</v>
      </c>
      <c r="BR3" s="1770" t="s">
        <v>1037</v>
      </c>
      <c r="BS3" s="1770" t="s">
        <v>1038</v>
      </c>
      <c r="BT3" s="1770" t="s">
        <v>1039</v>
      </c>
      <c r="BU3" s="1770" t="s">
        <v>1040</v>
      </c>
      <c r="BV3" s="1776" t="s">
        <v>1501</v>
      </c>
      <c r="BW3" s="1775"/>
      <c r="BX3" s="1770"/>
      <c r="BY3" s="1770" t="s">
        <v>1042</v>
      </c>
      <c r="BZ3" s="1770" t="s">
        <v>1043</v>
      </c>
      <c r="CA3" s="1776" t="s">
        <v>1032</v>
      </c>
      <c r="CB3" s="1776" t="s">
        <v>1033</v>
      </c>
    </row>
    <row r="4">
      <c r="A4" s="1777" t="s">
        <v>1502</v>
      </c>
      <c r="C4" s="1778" t="s">
        <v>1503</v>
      </c>
      <c r="D4" s="1779"/>
      <c r="E4" s="1780" t="s">
        <v>1504</v>
      </c>
      <c r="F4" s="1781"/>
      <c r="G4" s="1782" t="s">
        <v>1505</v>
      </c>
      <c r="H4" s="1783" t="b">
        <v>1</v>
      </c>
      <c r="I4" s="1781"/>
      <c r="J4" s="1781"/>
      <c r="K4" s="1784"/>
      <c r="L4" s="1780" t="s">
        <v>1504</v>
      </c>
      <c r="M4" s="1781"/>
      <c r="N4" s="1782" t="s">
        <v>1505</v>
      </c>
      <c r="O4" s="1783" t="b">
        <v>1</v>
      </c>
      <c r="P4" s="1781"/>
      <c r="Q4" s="1784"/>
      <c r="R4" s="1780" t="s">
        <v>1504</v>
      </c>
      <c r="S4" s="1781"/>
      <c r="T4" s="1782" t="s">
        <v>1505</v>
      </c>
      <c r="U4" s="1783" t="b">
        <v>1</v>
      </c>
      <c r="V4" s="1781"/>
      <c r="W4" s="1781"/>
      <c r="X4" s="1784"/>
      <c r="Y4" s="1780" t="s">
        <v>1504</v>
      </c>
      <c r="Z4" s="1781"/>
      <c r="AA4" s="1782" t="s">
        <v>1505</v>
      </c>
      <c r="AB4" s="1783" t="b">
        <v>1</v>
      </c>
      <c r="AC4" s="1781"/>
      <c r="AD4" s="1784"/>
      <c r="AE4" s="1780" t="s">
        <v>1504</v>
      </c>
      <c r="AF4" s="1781"/>
      <c r="AG4" s="1782" t="s">
        <v>1505</v>
      </c>
      <c r="AH4" s="1783" t="b">
        <v>1</v>
      </c>
      <c r="AI4" s="1781"/>
      <c r="AJ4" s="1781"/>
      <c r="AK4" s="1781"/>
      <c r="AL4" s="1784"/>
      <c r="AM4" s="1780" t="s">
        <v>1504</v>
      </c>
      <c r="AN4" s="1781"/>
      <c r="AO4" s="1782" t="s">
        <v>1505</v>
      </c>
      <c r="AP4" s="1783" t="b">
        <v>1</v>
      </c>
      <c r="AQ4" s="1781"/>
      <c r="AR4" s="1781"/>
      <c r="AS4" s="1781"/>
      <c r="AT4" s="1784"/>
      <c r="AU4" s="1780" t="s">
        <v>1504</v>
      </c>
      <c r="AV4" s="1781"/>
      <c r="AW4" s="1782" t="s">
        <v>1505</v>
      </c>
      <c r="AX4" s="1783" t="b">
        <v>1</v>
      </c>
      <c r="AY4" s="1781"/>
      <c r="AZ4" s="1781"/>
      <c r="BA4" s="479" t="s">
        <v>1506</v>
      </c>
      <c r="BB4" s="1784"/>
      <c r="BC4" s="1780" t="s">
        <v>1504</v>
      </c>
      <c r="BD4" s="1781"/>
      <c r="BE4" s="1782" t="s">
        <v>1505</v>
      </c>
      <c r="BF4" s="1783" t="b">
        <v>1</v>
      </c>
      <c r="BG4" s="1781"/>
      <c r="BH4" s="1784"/>
      <c r="BI4" s="1780" t="s">
        <v>1504</v>
      </c>
      <c r="BJ4" s="1781"/>
      <c r="BK4" s="1782" t="s">
        <v>1505</v>
      </c>
      <c r="BL4" s="1783" t="b">
        <v>1</v>
      </c>
      <c r="BM4" s="1781"/>
      <c r="BN4" s="1781"/>
      <c r="BO4" s="1781"/>
      <c r="BP4" s="1784"/>
      <c r="BQ4" s="1780" t="s">
        <v>1504</v>
      </c>
      <c r="BR4" s="1781"/>
      <c r="BS4" s="1782" t="s">
        <v>1505</v>
      </c>
      <c r="BT4" s="1783" t="b">
        <v>1</v>
      </c>
      <c r="BU4" s="1781"/>
      <c r="BV4" s="1781"/>
      <c r="BW4" s="1784"/>
      <c r="BX4" s="1780" t="s">
        <v>1504</v>
      </c>
      <c r="BY4" s="1781"/>
      <c r="BZ4" s="1782" t="s">
        <v>1505</v>
      </c>
      <c r="CA4" s="1783" t="b">
        <v>1</v>
      </c>
      <c r="CB4" s="1783"/>
    </row>
    <row r="5">
      <c r="A5" s="1785" t="s">
        <v>1507</v>
      </c>
      <c r="C5" s="1786"/>
      <c r="D5" s="1787"/>
      <c r="E5" s="1788" t="s">
        <v>1504</v>
      </c>
      <c r="F5" s="1754"/>
      <c r="G5" s="1754"/>
      <c r="H5" s="1754"/>
      <c r="I5" s="1754"/>
      <c r="J5" s="1754"/>
      <c r="K5" s="1784"/>
      <c r="L5" s="1789" t="s">
        <v>1504</v>
      </c>
      <c r="M5" s="1754"/>
      <c r="N5" s="1754"/>
      <c r="O5" s="1754"/>
      <c r="P5" s="1754"/>
      <c r="Q5" s="1784"/>
      <c r="R5" s="1789" t="s">
        <v>1504</v>
      </c>
      <c r="S5" s="1754"/>
      <c r="T5" s="1754"/>
      <c r="U5" s="1754"/>
      <c r="V5" s="1754"/>
      <c r="W5" s="1754"/>
      <c r="X5" s="1784"/>
      <c r="Y5" s="1789" t="s">
        <v>1504</v>
      </c>
      <c r="Z5" s="1754"/>
      <c r="AA5" s="1754"/>
      <c r="AB5" s="1754"/>
      <c r="AC5" s="1754"/>
      <c r="AD5" s="1784"/>
      <c r="AE5" s="1789" t="s">
        <v>1504</v>
      </c>
      <c r="AF5" s="1754"/>
      <c r="AG5" s="1754"/>
      <c r="AH5" s="1754"/>
      <c r="AI5" s="1754"/>
      <c r="AJ5" s="1754"/>
      <c r="AK5" s="1754"/>
      <c r="AL5" s="1784"/>
      <c r="AM5" s="1789" t="s">
        <v>1504</v>
      </c>
      <c r="AN5" s="1754"/>
      <c r="AO5" s="1754"/>
      <c r="AP5" s="1754"/>
      <c r="AQ5" s="1754"/>
      <c r="AR5" s="1754"/>
      <c r="AS5" s="1754"/>
      <c r="AT5" s="1784"/>
      <c r="AU5" s="1789" t="s">
        <v>1504</v>
      </c>
      <c r="AV5" s="1754"/>
      <c r="AW5" s="1754"/>
      <c r="AX5" s="1754"/>
      <c r="AY5" s="1754"/>
      <c r="AZ5" s="1754"/>
      <c r="BB5" s="1784"/>
      <c r="BC5" s="1789" t="s">
        <v>1504</v>
      </c>
      <c r="BD5" s="1754"/>
      <c r="BE5" s="1754"/>
      <c r="BF5" s="1754"/>
      <c r="BG5" s="1754"/>
      <c r="BH5" s="1784"/>
      <c r="BI5" s="1789" t="s">
        <v>1504</v>
      </c>
      <c r="BJ5" s="1754"/>
      <c r="BK5" s="1754"/>
      <c r="BL5" s="1754"/>
      <c r="BM5" s="1754"/>
      <c r="BN5" s="1754"/>
      <c r="BO5" s="1754"/>
      <c r="BP5" s="1784"/>
      <c r="BQ5" s="1789" t="s">
        <v>1504</v>
      </c>
      <c r="BR5" s="1754"/>
      <c r="BS5" s="1754"/>
      <c r="BT5" s="1754"/>
      <c r="BU5" s="1754"/>
      <c r="BV5" s="1754"/>
      <c r="BW5" s="1784"/>
      <c r="BX5" s="1789" t="s">
        <v>1504</v>
      </c>
      <c r="BY5" s="1754"/>
      <c r="BZ5" s="1754"/>
      <c r="CA5" s="1754"/>
      <c r="CB5" s="1754"/>
    </row>
    <row r="6">
      <c r="A6" s="1790" t="s">
        <v>1508</v>
      </c>
      <c r="C6" s="1791" t="s">
        <v>1509</v>
      </c>
      <c r="D6" s="1779"/>
      <c r="E6" s="1780" t="s">
        <v>1504</v>
      </c>
      <c r="F6" s="1781"/>
      <c r="G6" s="1781"/>
      <c r="H6" s="1781"/>
      <c r="I6" s="1781"/>
      <c r="J6" s="1781"/>
      <c r="K6" s="1784"/>
      <c r="L6" s="1780" t="s">
        <v>1504</v>
      </c>
      <c r="M6" s="1781"/>
      <c r="N6" s="1781"/>
      <c r="O6" s="1781"/>
      <c r="P6" s="1781"/>
      <c r="Q6" s="1784"/>
      <c r="R6" s="1780" t="s">
        <v>1504</v>
      </c>
      <c r="S6" s="1781"/>
      <c r="T6" s="1781"/>
      <c r="U6" s="1781"/>
      <c r="V6" s="1781"/>
      <c r="W6" s="1781"/>
      <c r="X6" s="1784"/>
      <c r="Y6" s="1780" t="s">
        <v>1504</v>
      </c>
      <c r="Z6" s="1781"/>
      <c r="AA6" s="1781"/>
      <c r="AB6" s="1781"/>
      <c r="AC6" s="1781"/>
      <c r="AD6" s="1784"/>
      <c r="AE6" s="1780" t="s">
        <v>1504</v>
      </c>
      <c r="AF6" s="1781"/>
      <c r="AG6" s="1781"/>
      <c r="AH6" s="1781"/>
      <c r="AI6" s="1781"/>
      <c r="AJ6" s="1781"/>
      <c r="AK6" s="1781"/>
      <c r="AL6" s="1784"/>
      <c r="AM6" s="1780" t="s">
        <v>1504</v>
      </c>
      <c r="AN6" s="1781"/>
      <c r="AO6" s="1781"/>
      <c r="AP6" s="1781"/>
      <c r="AQ6" s="1781"/>
      <c r="AR6" s="1781"/>
      <c r="AS6" s="1781"/>
      <c r="AT6" s="1784"/>
      <c r="AU6" s="1780" t="s">
        <v>1504</v>
      </c>
      <c r="AV6" s="1781"/>
      <c r="AW6" s="1781"/>
      <c r="AX6" s="1781"/>
      <c r="AY6" s="1781"/>
      <c r="AZ6" s="1781"/>
      <c r="BB6" s="1784"/>
      <c r="BC6" s="1780" t="s">
        <v>1504</v>
      </c>
      <c r="BD6" s="1781"/>
      <c r="BE6" s="1781"/>
      <c r="BF6" s="1781"/>
      <c r="BG6" s="1781"/>
      <c r="BH6" s="1784"/>
      <c r="BI6" s="1780" t="s">
        <v>1504</v>
      </c>
      <c r="BJ6" s="1781"/>
      <c r="BK6" s="1781"/>
      <c r="BL6" s="1781"/>
      <c r="BM6" s="1781"/>
      <c r="BN6" s="1781"/>
      <c r="BO6" s="1781"/>
      <c r="BP6" s="1784"/>
      <c r="BQ6" s="1780" t="s">
        <v>1504</v>
      </c>
      <c r="BR6" s="1781"/>
      <c r="BS6" s="1781"/>
      <c r="BT6" s="1781"/>
      <c r="BU6" s="1781"/>
      <c r="BV6" s="1781"/>
      <c r="BW6" s="1784"/>
      <c r="BX6" s="1780" t="s">
        <v>1504</v>
      </c>
      <c r="BY6" s="1781"/>
      <c r="BZ6" s="1781"/>
      <c r="CA6" s="1781"/>
      <c r="CB6" s="1781"/>
    </row>
    <row r="7">
      <c r="A7" s="1792" t="s">
        <v>1510</v>
      </c>
      <c r="C7" s="1791" t="s">
        <v>1511</v>
      </c>
      <c r="D7" s="1787"/>
      <c r="E7" s="1788" t="s">
        <v>1504</v>
      </c>
      <c r="F7" s="1754"/>
      <c r="G7" s="1754"/>
      <c r="H7" s="1754"/>
      <c r="I7" s="1754"/>
      <c r="J7" s="1754"/>
      <c r="K7" s="1784"/>
      <c r="L7" s="1789" t="s">
        <v>1504</v>
      </c>
      <c r="M7" s="1754"/>
      <c r="N7" s="1754"/>
      <c r="O7" s="1754"/>
      <c r="P7" s="1754"/>
      <c r="Q7" s="1784"/>
      <c r="R7" s="1789" t="s">
        <v>1504</v>
      </c>
      <c r="S7" s="1754"/>
      <c r="T7" s="1754"/>
      <c r="U7" s="1754"/>
      <c r="V7" s="1754"/>
      <c r="W7" s="1754"/>
      <c r="X7" s="1784"/>
      <c r="Y7" s="1789" t="s">
        <v>1504</v>
      </c>
      <c r="Z7" s="1754"/>
      <c r="AA7" s="1754"/>
      <c r="AB7" s="1754"/>
      <c r="AC7" s="1754"/>
      <c r="AD7" s="1784"/>
      <c r="AE7" s="1793" t="s">
        <v>1512</v>
      </c>
      <c r="AF7" s="1754"/>
      <c r="AG7" s="1754"/>
      <c r="AH7" s="1754"/>
      <c r="AI7" s="1754"/>
      <c r="AJ7" s="1754"/>
      <c r="AK7" s="1754"/>
      <c r="AL7" s="1784"/>
      <c r="AM7" s="1793" t="s">
        <v>1512</v>
      </c>
      <c r="AN7" s="1754"/>
      <c r="AO7" s="1754"/>
      <c r="AP7" s="1754"/>
      <c r="AQ7" s="1754"/>
      <c r="AR7" s="1754"/>
      <c r="AS7" s="1754"/>
      <c r="AT7" s="1784"/>
      <c r="AU7" s="1789" t="s">
        <v>1504</v>
      </c>
      <c r="AV7" s="1754"/>
      <c r="AW7" s="1754"/>
      <c r="AX7" s="1754"/>
      <c r="AY7" s="1754"/>
      <c r="AZ7" s="1754"/>
      <c r="BB7" s="1784"/>
      <c r="BC7" s="1794" t="s">
        <v>1512</v>
      </c>
      <c r="BD7" s="1754"/>
      <c r="BE7" s="1754"/>
      <c r="BF7" s="1754"/>
      <c r="BG7" s="1754"/>
      <c r="BH7" s="1784"/>
      <c r="BI7" s="1789" t="s">
        <v>1504</v>
      </c>
      <c r="BJ7" s="1754"/>
      <c r="BK7" s="1754"/>
      <c r="BL7" s="1754"/>
      <c r="BM7" s="1754"/>
      <c r="BN7" s="1754"/>
      <c r="BO7" s="1754"/>
      <c r="BP7" s="1784"/>
      <c r="BQ7" s="1789" t="s">
        <v>1504</v>
      </c>
      <c r="BR7" s="1754"/>
      <c r="BS7" s="1754"/>
      <c r="BT7" s="1754"/>
      <c r="BU7" s="1754"/>
      <c r="BV7" s="1754"/>
      <c r="BW7" s="1784"/>
      <c r="BX7" s="1789" t="s">
        <v>1504</v>
      </c>
      <c r="BY7" s="1754"/>
      <c r="BZ7" s="1754"/>
      <c r="CA7" s="1754"/>
      <c r="CB7" s="1754"/>
    </row>
    <row r="8">
      <c r="A8" s="1777" t="s">
        <v>1513</v>
      </c>
      <c r="C8" s="1791" t="s">
        <v>1514</v>
      </c>
      <c r="D8" s="1779"/>
      <c r="E8" s="1780" t="s">
        <v>1504</v>
      </c>
      <c r="F8" s="1781"/>
      <c r="G8" s="1781"/>
      <c r="H8" s="1781"/>
      <c r="I8" s="1781"/>
      <c r="J8" s="1781"/>
      <c r="K8" s="1784"/>
      <c r="L8" s="1780" t="s">
        <v>1504</v>
      </c>
      <c r="M8" s="1781"/>
      <c r="N8" s="1780"/>
      <c r="O8" s="1781"/>
      <c r="P8" s="1781"/>
      <c r="Q8" s="1784"/>
      <c r="R8" s="1780" t="s">
        <v>1504</v>
      </c>
      <c r="S8" s="1781"/>
      <c r="T8" s="1781"/>
      <c r="U8" s="1781"/>
      <c r="V8" s="1781"/>
      <c r="W8" s="1781"/>
      <c r="X8" s="1784"/>
      <c r="Y8" s="1780" t="s">
        <v>1504</v>
      </c>
      <c r="Z8" s="1781"/>
      <c r="AA8" s="1781"/>
      <c r="AB8" s="1781"/>
      <c r="AC8" s="1781"/>
      <c r="AD8" s="1784"/>
      <c r="AE8" s="1780" t="s">
        <v>1504</v>
      </c>
      <c r="AF8" s="1781"/>
      <c r="AG8" s="1781"/>
      <c r="AH8" s="1781"/>
      <c r="AI8" s="1781"/>
      <c r="AJ8" s="1781"/>
      <c r="AK8" s="1781"/>
      <c r="AL8" s="1784"/>
      <c r="AM8" s="1783" t="s">
        <v>1504</v>
      </c>
      <c r="AN8" s="1781"/>
      <c r="AO8" s="1781"/>
      <c r="AP8" s="1781"/>
      <c r="AQ8" s="1781"/>
      <c r="AR8" s="1781"/>
      <c r="AS8" s="1781"/>
      <c r="AT8" s="1784"/>
      <c r="AU8" s="1780" t="s">
        <v>1504</v>
      </c>
      <c r="AV8" s="1781"/>
      <c r="AW8" s="1781"/>
      <c r="AX8" s="1781"/>
      <c r="AY8" s="1781"/>
      <c r="AZ8" s="1781"/>
      <c r="BB8" s="1784"/>
      <c r="BC8" s="1780" t="s">
        <v>1504</v>
      </c>
      <c r="BD8" s="1781"/>
      <c r="BE8" s="1781"/>
      <c r="BF8" s="1781"/>
      <c r="BG8" s="1781"/>
      <c r="BH8" s="1784"/>
      <c r="BI8" s="1780" t="s">
        <v>1504</v>
      </c>
      <c r="BJ8" s="1781"/>
      <c r="BK8" s="1781"/>
      <c r="BL8" s="1781"/>
      <c r="BM8" s="1781"/>
      <c r="BN8" s="1781"/>
      <c r="BO8" s="1781"/>
      <c r="BP8" s="1784"/>
      <c r="BQ8" s="1780" t="s">
        <v>1504</v>
      </c>
      <c r="BR8" s="1781"/>
      <c r="BS8" s="1781"/>
      <c r="BT8" s="1781"/>
      <c r="BU8" s="1781"/>
      <c r="BV8" s="1781"/>
      <c r="BW8" s="1784"/>
      <c r="BX8" s="1780" t="s">
        <v>1504</v>
      </c>
      <c r="BY8" s="1781"/>
      <c r="BZ8" s="1781"/>
      <c r="CA8" s="1781"/>
      <c r="CB8" s="1781"/>
    </row>
    <row r="9">
      <c r="A9" s="1792" t="s">
        <v>1515</v>
      </c>
      <c r="C9" s="1795" t="s">
        <v>1516</v>
      </c>
      <c r="D9" s="1787"/>
      <c r="E9" s="1788" t="s">
        <v>1517</v>
      </c>
      <c r="F9" s="1754"/>
      <c r="G9" s="1754"/>
      <c r="H9" s="1754"/>
      <c r="I9" s="1754"/>
      <c r="J9" s="1754"/>
      <c r="K9" s="1784"/>
      <c r="L9" s="1796" t="s">
        <v>1518</v>
      </c>
      <c r="M9" s="1754"/>
      <c r="N9" s="1754"/>
      <c r="O9" s="1754"/>
      <c r="P9" s="1754"/>
      <c r="Q9" s="1784"/>
      <c r="R9" s="1789" t="s">
        <v>1518</v>
      </c>
      <c r="S9" s="1754"/>
      <c r="T9" s="1754"/>
      <c r="U9" s="1754"/>
      <c r="V9" s="1754"/>
      <c r="W9" s="1754"/>
      <c r="X9" s="1784"/>
      <c r="Y9" s="1797" t="s">
        <v>1519</v>
      </c>
      <c r="Z9" s="1754"/>
      <c r="AA9" s="1754"/>
      <c r="AB9" s="1754"/>
      <c r="AC9" s="1754"/>
      <c r="AD9" s="1784"/>
      <c r="AE9" s="1798" t="s">
        <v>1520</v>
      </c>
      <c r="AF9" s="1754"/>
      <c r="AG9" s="1754"/>
      <c r="AH9" s="1754"/>
      <c r="AI9" s="1754"/>
      <c r="AJ9" s="1754"/>
      <c r="AK9" s="1754"/>
      <c r="AL9" s="1784"/>
      <c r="AM9" s="1754"/>
      <c r="AN9" s="1754"/>
      <c r="AO9" s="1754"/>
      <c r="AP9" s="1754"/>
      <c r="AQ9" s="1754"/>
      <c r="AR9" s="1754"/>
      <c r="AS9" s="1754"/>
      <c r="AT9" s="1784"/>
      <c r="AU9" s="1754"/>
      <c r="AV9" s="1754"/>
      <c r="AW9" s="1754"/>
      <c r="AX9" s="1754"/>
      <c r="AY9" s="1754"/>
      <c r="AZ9" s="1754"/>
      <c r="BB9" s="1784"/>
      <c r="BC9" s="1797" t="s">
        <v>1521</v>
      </c>
      <c r="BF9" s="1754"/>
      <c r="BG9" s="1754"/>
      <c r="BH9" s="1784"/>
      <c r="BI9" s="1798" t="s">
        <v>1522</v>
      </c>
      <c r="BJ9" s="1754"/>
      <c r="BK9" s="1754"/>
      <c r="BL9" s="1754"/>
      <c r="BM9" s="1754"/>
      <c r="BN9" s="1754"/>
      <c r="BO9" s="1754"/>
      <c r="BP9" s="1784"/>
      <c r="BQ9" s="1799"/>
      <c r="BR9" s="1754"/>
      <c r="BS9" s="1754"/>
      <c r="BT9" s="1754"/>
      <c r="BU9" s="1754"/>
      <c r="BV9" s="1754"/>
      <c r="BW9" s="1784"/>
      <c r="BX9" s="1799"/>
      <c r="BY9" s="1754"/>
      <c r="BZ9" s="1754"/>
      <c r="CA9" s="1754"/>
      <c r="CB9" s="1754"/>
    </row>
    <row r="10">
      <c r="A10" s="1800"/>
      <c r="C10" s="1801"/>
      <c r="D10" s="1739"/>
      <c r="E10" s="1754"/>
      <c r="F10" s="1754"/>
      <c r="G10" s="1754"/>
      <c r="H10" s="1754"/>
      <c r="I10" s="1754"/>
      <c r="J10" s="1754"/>
      <c r="K10" s="1784"/>
      <c r="L10" s="1754"/>
      <c r="M10" s="1754"/>
      <c r="N10" s="1754"/>
      <c r="O10" s="1754"/>
      <c r="P10" s="1754"/>
      <c r="Q10" s="1784"/>
      <c r="R10" s="1754"/>
      <c r="S10" s="1754"/>
      <c r="T10" s="1754"/>
      <c r="U10" s="1754"/>
      <c r="V10" s="1754"/>
      <c r="W10" s="1754"/>
      <c r="X10" s="1784"/>
      <c r="Y10" s="1754"/>
      <c r="Z10" s="1754"/>
      <c r="AA10" s="1754"/>
      <c r="AB10" s="1754"/>
      <c r="AC10" s="1754"/>
      <c r="AD10" s="1784"/>
      <c r="AE10" s="1754"/>
      <c r="AF10" s="1754"/>
      <c r="AG10" s="1754"/>
      <c r="AH10" s="1754"/>
      <c r="AI10" s="1754"/>
      <c r="AJ10" s="1754"/>
      <c r="AK10" s="1754"/>
      <c r="AL10" s="1784"/>
      <c r="AM10" s="1754"/>
      <c r="AN10" s="1754"/>
      <c r="AO10" s="1754"/>
      <c r="AP10" s="1754"/>
      <c r="AQ10" s="1754"/>
      <c r="AR10" s="1754"/>
      <c r="AS10" s="1754"/>
      <c r="AT10" s="1784"/>
      <c r="AU10" s="1754"/>
      <c r="AV10" s="1754"/>
      <c r="AW10" s="1754"/>
      <c r="AX10" s="1754"/>
      <c r="AY10" s="1754"/>
      <c r="AZ10" s="1754"/>
      <c r="BB10" s="1784"/>
      <c r="BC10" s="1754"/>
      <c r="BD10" s="1754"/>
      <c r="BE10" s="1754"/>
      <c r="BF10" s="1754"/>
      <c r="BG10" s="1754"/>
      <c r="BH10" s="1784"/>
      <c r="BI10" s="1754"/>
      <c r="BJ10" s="1754"/>
      <c r="BK10" s="1754"/>
      <c r="BL10" s="1754"/>
      <c r="BM10" s="1754"/>
      <c r="BN10" s="1754"/>
      <c r="BO10" s="1754"/>
      <c r="BP10" s="1784"/>
      <c r="BQ10" s="1754"/>
      <c r="BR10" s="1754"/>
      <c r="BS10" s="1754"/>
      <c r="BT10" s="1754"/>
      <c r="BU10" s="1754"/>
      <c r="BV10" s="1754"/>
      <c r="BW10" s="1784"/>
      <c r="BX10" s="1754"/>
      <c r="BY10" s="1754"/>
      <c r="BZ10" s="1754"/>
      <c r="CA10" s="1754"/>
      <c r="CB10" s="1754"/>
    </row>
    <row r="11">
      <c r="A11" s="1802" t="s">
        <v>1523</v>
      </c>
      <c r="C11" s="1802"/>
      <c r="D11" s="1803"/>
      <c r="E11" s="1804" t="s">
        <v>87</v>
      </c>
      <c r="F11" s="1441" t="s">
        <v>13</v>
      </c>
      <c r="G11" s="444" t="s">
        <v>1524</v>
      </c>
      <c r="H11" s="1441" t="s">
        <v>1525</v>
      </c>
      <c r="I11" s="1804"/>
      <c r="J11" s="1754"/>
      <c r="K11" s="1784"/>
      <c r="L11" s="1804" t="s">
        <v>87</v>
      </c>
      <c r="M11" s="1441" t="s">
        <v>13</v>
      </c>
      <c r="N11" s="444" t="s">
        <v>1524</v>
      </c>
      <c r="O11" s="1441" t="s">
        <v>1525</v>
      </c>
      <c r="P11" s="1804"/>
      <c r="Q11" s="1784"/>
      <c r="R11" s="1805"/>
      <c r="S11" s="1806" t="s">
        <v>13</v>
      </c>
      <c r="T11" s="1807" t="s">
        <v>1524</v>
      </c>
      <c r="U11" s="1806" t="s">
        <v>1525</v>
      </c>
      <c r="V11" s="1754"/>
      <c r="W11" s="1754"/>
      <c r="X11" s="1784"/>
      <c r="Y11" s="1804" t="s">
        <v>87</v>
      </c>
      <c r="Z11" s="1806" t="s">
        <v>13</v>
      </c>
      <c r="AA11" s="1807" t="s">
        <v>1524</v>
      </c>
      <c r="AB11" s="1806" t="s">
        <v>1525</v>
      </c>
      <c r="AC11" s="1754"/>
      <c r="AD11" s="1784"/>
      <c r="AE11" s="1804" t="s">
        <v>87</v>
      </c>
      <c r="AF11" s="1806" t="s">
        <v>13</v>
      </c>
      <c r="AG11" s="1806" t="s">
        <v>1524</v>
      </c>
      <c r="AH11" s="1806" t="s">
        <v>1525</v>
      </c>
      <c r="AI11" s="1754"/>
      <c r="AJ11" s="1754"/>
      <c r="AK11" s="1754"/>
      <c r="AL11" s="1784"/>
      <c r="AM11" s="1804" t="s">
        <v>87</v>
      </c>
      <c r="AN11" s="1806" t="s">
        <v>13</v>
      </c>
      <c r="AO11" s="1807" t="s">
        <v>1524</v>
      </c>
      <c r="AP11" s="1806" t="s">
        <v>1525</v>
      </c>
      <c r="AQ11" s="1754"/>
      <c r="AR11" s="1754"/>
      <c r="AS11" s="1754"/>
      <c r="AT11" s="1784"/>
      <c r="AU11" s="1804" t="s">
        <v>87</v>
      </c>
      <c r="AV11" s="1806" t="s">
        <v>13</v>
      </c>
      <c r="AW11" s="1806" t="s">
        <v>1525</v>
      </c>
      <c r="AX11" s="1754"/>
      <c r="AY11" s="1754"/>
      <c r="AZ11" s="1754"/>
      <c r="BB11" s="1784"/>
      <c r="BC11" s="1804" t="s">
        <v>87</v>
      </c>
      <c r="BD11" s="1806" t="s">
        <v>13</v>
      </c>
      <c r="BE11" s="1807" t="s">
        <v>1525</v>
      </c>
      <c r="BF11" s="1806"/>
      <c r="BG11" s="1754"/>
      <c r="BH11" s="1784"/>
      <c r="BI11" s="1804" t="s">
        <v>87</v>
      </c>
      <c r="BJ11" s="1806" t="s">
        <v>13</v>
      </c>
      <c r="BK11" s="1807" t="s">
        <v>1525</v>
      </c>
      <c r="BL11" s="1754"/>
      <c r="BM11" s="1754"/>
      <c r="BN11" s="1754"/>
      <c r="BO11" s="1754"/>
      <c r="BP11" s="1784"/>
      <c r="BQ11" s="1808" t="s">
        <v>87</v>
      </c>
      <c r="BR11" s="1809" t="s">
        <v>13</v>
      </c>
      <c r="BS11" s="1810" t="s">
        <v>1525</v>
      </c>
      <c r="BT11" s="1754"/>
      <c r="BU11" s="1754"/>
      <c r="BV11" s="1754"/>
      <c r="BW11" s="1784"/>
      <c r="BX11" s="1804" t="s">
        <v>87</v>
      </c>
      <c r="BY11" s="1806" t="s">
        <v>13</v>
      </c>
      <c r="BZ11" s="1807" t="s">
        <v>1525</v>
      </c>
      <c r="CA11" s="1754"/>
      <c r="CB11" s="1754"/>
    </row>
    <row r="12">
      <c r="A12" s="1811"/>
      <c r="B12" s="1812"/>
      <c r="C12" s="1812"/>
      <c r="D12" s="1813"/>
      <c r="E12" s="1814" t="s">
        <v>1252</v>
      </c>
      <c r="F12" s="1815">
        <v>6.0</v>
      </c>
      <c r="G12" s="1816">
        <v>0.2171</v>
      </c>
      <c r="H12" s="1816">
        <v>0.25</v>
      </c>
      <c r="I12" s="1799"/>
      <c r="J12" s="1754"/>
      <c r="K12" s="1784"/>
      <c r="L12" s="1814" t="s">
        <v>1252</v>
      </c>
      <c r="M12" s="1814">
        <v>7.0</v>
      </c>
      <c r="N12" s="1817">
        <v>0.2815</v>
      </c>
      <c r="O12" s="1814" t="s">
        <v>1526</v>
      </c>
      <c r="P12" s="1799"/>
      <c r="Q12" s="1784"/>
      <c r="R12" s="1814" t="s">
        <v>1252</v>
      </c>
      <c r="S12" s="1814">
        <v>6.0</v>
      </c>
      <c r="T12" s="1814" t="s">
        <v>1527</v>
      </c>
      <c r="U12" s="1814" t="s">
        <v>1528</v>
      </c>
      <c r="V12" s="1754"/>
      <c r="W12" s="1754"/>
      <c r="X12" s="1784"/>
      <c r="Y12" s="1814" t="s">
        <v>1252</v>
      </c>
      <c r="Z12" s="1814">
        <v>5.0</v>
      </c>
      <c r="AA12" s="1818">
        <v>0.2216</v>
      </c>
      <c r="AB12" s="1814" t="s">
        <v>1529</v>
      </c>
      <c r="AC12" s="1754"/>
      <c r="AD12" s="1784"/>
      <c r="AE12" s="1814" t="str">
        <f>"D66"&amp; CHAR(185)</f>
        <v>D66¹</v>
      </c>
      <c r="AF12" s="1814">
        <v>7.0</v>
      </c>
      <c r="AG12" s="1817"/>
      <c r="AH12" s="1817">
        <v>0.28</v>
      </c>
      <c r="AI12" s="1754"/>
      <c r="AJ12" s="1754"/>
      <c r="AK12" s="1754"/>
      <c r="AL12" s="1784"/>
      <c r="AM12" s="1819" t="s">
        <v>1252</v>
      </c>
      <c r="AN12" s="1819">
        <v>5.0</v>
      </c>
      <c r="AO12" s="1817">
        <v>0.2438</v>
      </c>
      <c r="AP12" s="1819" t="s">
        <v>1529</v>
      </c>
      <c r="AQ12" s="1820"/>
      <c r="AR12" s="1754"/>
      <c r="AS12" s="1754"/>
      <c r="AT12" s="1784"/>
      <c r="AU12" s="1821" t="s">
        <v>234</v>
      </c>
      <c r="AV12" s="1821">
        <v>6.0</v>
      </c>
      <c r="AW12" s="1822">
        <v>0.24</v>
      </c>
      <c r="AX12" s="573"/>
      <c r="AY12" s="1754"/>
      <c r="AZ12" s="1754"/>
      <c r="BB12" s="1784"/>
      <c r="BC12" s="1823" t="s">
        <v>1289</v>
      </c>
      <c r="BD12" s="1823">
        <v>5.0</v>
      </c>
      <c r="BE12" s="1824">
        <v>0.1429</v>
      </c>
      <c r="BF12" s="1800"/>
      <c r="BG12" s="573"/>
      <c r="BH12" s="1825"/>
      <c r="BI12" s="962" t="s">
        <v>214</v>
      </c>
      <c r="BJ12" s="962">
        <v>7.0</v>
      </c>
      <c r="BK12" s="1826">
        <v>0.28</v>
      </c>
      <c r="BL12" s="1754"/>
      <c r="BM12" s="1754"/>
      <c r="BN12" s="1754"/>
      <c r="BO12" s="1754"/>
      <c r="BP12" s="1784"/>
      <c r="BQ12" s="1827" t="s">
        <v>36</v>
      </c>
      <c r="BR12" s="1827">
        <v>6.0</v>
      </c>
      <c r="BS12" s="1828">
        <v>0.24</v>
      </c>
      <c r="BT12" s="1754"/>
      <c r="BU12" s="1754"/>
      <c r="BV12" s="1754"/>
      <c r="BW12" s="1784"/>
      <c r="BX12" s="1829" t="s">
        <v>15</v>
      </c>
      <c r="BY12" s="1829">
        <v>8.0</v>
      </c>
      <c r="BZ12" s="1830">
        <v>0.32</v>
      </c>
      <c r="CA12" s="427"/>
    </row>
    <row r="13">
      <c r="A13" s="1831"/>
      <c r="B13" s="1812"/>
      <c r="C13" s="1812"/>
      <c r="D13" s="1813"/>
      <c r="E13" s="1821" t="s">
        <v>234</v>
      </c>
      <c r="F13" s="1832">
        <v>4.0</v>
      </c>
      <c r="G13" s="1833">
        <v>0.1447</v>
      </c>
      <c r="H13" s="1833">
        <v>0.1667</v>
      </c>
      <c r="I13" s="1754"/>
      <c r="J13" s="1754"/>
      <c r="K13" s="1784"/>
      <c r="L13" s="1834" t="s">
        <v>1205</v>
      </c>
      <c r="M13" s="1835">
        <v>5.0</v>
      </c>
      <c r="N13" s="1836">
        <v>0.2017</v>
      </c>
      <c r="O13" s="1835" t="s">
        <v>1529</v>
      </c>
      <c r="P13" s="1754"/>
      <c r="Q13" s="1784"/>
      <c r="R13" s="1834" t="s">
        <v>1205</v>
      </c>
      <c r="S13" s="1834">
        <v>5.0</v>
      </c>
      <c r="T13" s="1834" t="s">
        <v>1527</v>
      </c>
      <c r="U13" s="1834" t="s">
        <v>1529</v>
      </c>
      <c r="V13" s="1754"/>
      <c r="W13" s="1754"/>
      <c r="X13" s="1784"/>
      <c r="Y13" s="1834" t="s">
        <v>1205</v>
      </c>
      <c r="Z13" s="1834">
        <v>4.0</v>
      </c>
      <c r="AA13" s="1836">
        <v>0.146</v>
      </c>
      <c r="AB13" s="1834" t="s">
        <v>1530</v>
      </c>
      <c r="AC13" s="1754"/>
      <c r="AD13" s="1784"/>
      <c r="AE13" s="1834" t="s">
        <v>1205</v>
      </c>
      <c r="AF13" s="1834">
        <v>7.0</v>
      </c>
      <c r="AG13" s="1836"/>
      <c r="AH13" s="1836">
        <v>0.28</v>
      </c>
      <c r="AI13" s="1754"/>
      <c r="AJ13" s="1754"/>
      <c r="AK13" s="1754"/>
      <c r="AL13" s="1784"/>
      <c r="AM13" s="1837" t="s">
        <v>200</v>
      </c>
      <c r="AN13" s="1837">
        <v>5.0</v>
      </c>
      <c r="AO13" s="1838">
        <v>0.1969</v>
      </c>
      <c r="AP13" s="1837" t="s">
        <v>1529</v>
      </c>
      <c r="AQ13" s="1820"/>
      <c r="AR13" s="1754"/>
      <c r="AS13" s="1754"/>
      <c r="AT13" s="1784"/>
      <c r="AU13" s="1839" t="s">
        <v>1256</v>
      </c>
      <c r="AV13" s="1839">
        <v>5.0</v>
      </c>
      <c r="AW13" s="1839" t="s">
        <v>1529</v>
      </c>
      <c r="AX13" s="573"/>
      <c r="AY13" s="1754"/>
      <c r="AZ13" s="1754"/>
      <c r="BB13" s="1784"/>
      <c r="BC13" s="1840" t="s">
        <v>1287</v>
      </c>
      <c r="BD13" s="1840">
        <v>5.0</v>
      </c>
      <c r="BE13" s="1841">
        <v>0.1429</v>
      </c>
      <c r="BF13" s="1800"/>
      <c r="BG13" s="573"/>
      <c r="BH13" s="1825"/>
      <c r="BI13" s="1842" t="s">
        <v>31</v>
      </c>
      <c r="BJ13" s="1842">
        <v>6.0</v>
      </c>
      <c r="BK13" s="1843">
        <v>0.24</v>
      </c>
      <c r="BL13" s="1754"/>
      <c r="BM13" s="1754"/>
      <c r="BN13" s="1754"/>
      <c r="BO13" s="1754"/>
      <c r="BP13" s="1784"/>
      <c r="BQ13" s="1844" t="s">
        <v>375</v>
      </c>
      <c r="BR13" s="1844">
        <v>4.0</v>
      </c>
      <c r="BS13" s="1845">
        <v>0.16</v>
      </c>
      <c r="BT13" s="573"/>
      <c r="BU13" s="1754"/>
      <c r="BV13" s="1754"/>
      <c r="BW13" s="1784"/>
      <c r="BX13" s="1846" t="s">
        <v>24</v>
      </c>
      <c r="BY13" s="1846">
        <v>6.0</v>
      </c>
      <c r="BZ13" s="1847">
        <v>0.24</v>
      </c>
      <c r="CA13" s="427"/>
    </row>
    <row r="14">
      <c r="A14" s="1831"/>
      <c r="B14" s="1812"/>
      <c r="C14" s="1812"/>
      <c r="D14" s="1813"/>
      <c r="E14" s="1848" t="str">
        <f>"GL"&amp; CHAR(185)</f>
        <v>GL¹</v>
      </c>
      <c r="F14" s="1849">
        <v>4.0</v>
      </c>
      <c r="G14" s="1850">
        <v>0.1447</v>
      </c>
      <c r="H14" s="1850">
        <v>0.1667</v>
      </c>
      <c r="I14" s="1799"/>
      <c r="J14" s="1754"/>
      <c r="K14" s="1784"/>
      <c r="L14" s="1821" t="s">
        <v>234</v>
      </c>
      <c r="M14" s="1821">
        <v>3.0</v>
      </c>
      <c r="N14" s="1822">
        <v>0.1092</v>
      </c>
      <c r="O14" s="1821" t="s">
        <v>1531</v>
      </c>
      <c r="P14" s="1799"/>
      <c r="Q14" s="1784"/>
      <c r="R14" s="832" t="s">
        <v>1188</v>
      </c>
      <c r="S14" s="832">
        <v>3.0</v>
      </c>
      <c r="T14" s="832" t="s">
        <v>1527</v>
      </c>
      <c r="U14" s="832" t="s">
        <v>1531</v>
      </c>
      <c r="V14" s="1754"/>
      <c r="W14" s="1754"/>
      <c r="X14" s="1784"/>
      <c r="Y14" s="832" t="s">
        <v>1188</v>
      </c>
      <c r="Z14" s="832">
        <v>3.0</v>
      </c>
      <c r="AA14" s="1851">
        <v>0.1027</v>
      </c>
      <c r="AB14" s="832" t="s">
        <v>1531</v>
      </c>
      <c r="AC14" s="1754"/>
      <c r="AD14" s="1784"/>
      <c r="AE14" s="861" t="s">
        <v>1233</v>
      </c>
      <c r="AF14" s="861">
        <v>3.0</v>
      </c>
      <c r="AG14" s="861"/>
      <c r="AH14" s="861" t="s">
        <v>1531</v>
      </c>
      <c r="AI14" s="1754"/>
      <c r="AJ14" s="1754"/>
      <c r="AK14" s="1754"/>
      <c r="AL14" s="1784"/>
      <c r="AM14" s="1852" t="s">
        <v>243</v>
      </c>
      <c r="AN14" s="1852">
        <v>5.0</v>
      </c>
      <c r="AO14" s="1853">
        <v>0.1969</v>
      </c>
      <c r="AP14" s="1852" t="s">
        <v>1529</v>
      </c>
      <c r="AQ14" s="1820"/>
      <c r="AR14" s="1754"/>
      <c r="AS14" s="1754"/>
      <c r="AT14" s="1784"/>
      <c r="AU14" s="1854" t="s">
        <v>1252</v>
      </c>
      <c r="AV14" s="1819">
        <v>3.0</v>
      </c>
      <c r="AW14" s="1854" t="s">
        <v>1531</v>
      </c>
      <c r="AX14" s="573"/>
      <c r="AY14" s="1754"/>
      <c r="AZ14" s="1754"/>
      <c r="BB14" s="1784"/>
      <c r="BC14" s="1855" t="s">
        <v>161</v>
      </c>
      <c r="BD14" s="1855">
        <v>4.0</v>
      </c>
      <c r="BE14" s="1856">
        <v>0.1143</v>
      </c>
      <c r="BF14" s="1800"/>
      <c r="BG14" s="573"/>
      <c r="BH14" s="1825"/>
      <c r="BI14" s="1823" t="s">
        <v>1289</v>
      </c>
      <c r="BJ14" s="1823">
        <v>4.0</v>
      </c>
      <c r="BK14" s="1824">
        <v>0.16</v>
      </c>
      <c r="BL14" s="1754"/>
      <c r="BM14" s="1754"/>
      <c r="BN14" s="1754"/>
      <c r="BO14" s="1754"/>
      <c r="BP14" s="1784"/>
      <c r="BQ14" s="1857" t="s">
        <v>320</v>
      </c>
      <c r="BR14" s="1857">
        <v>4.0</v>
      </c>
      <c r="BS14" s="1858">
        <v>0.16</v>
      </c>
      <c r="BT14" s="573"/>
      <c r="BU14" s="1754"/>
      <c r="BV14" s="1754"/>
      <c r="BW14" s="1784"/>
      <c r="BX14" s="1859" t="s">
        <v>36</v>
      </c>
      <c r="BY14" s="1859">
        <v>5.0</v>
      </c>
      <c r="BZ14" s="1860">
        <v>0.2</v>
      </c>
      <c r="CA14" s="427"/>
    </row>
    <row r="15">
      <c r="A15" s="1812"/>
      <c r="B15" s="1812"/>
      <c r="C15" s="1812"/>
      <c r="D15" s="1813"/>
      <c r="E15" s="1861" t="s">
        <v>1200</v>
      </c>
      <c r="F15" s="1862">
        <v>3.0</v>
      </c>
      <c r="G15" s="1863">
        <v>0.1184</v>
      </c>
      <c r="H15" s="1863">
        <v>0.125</v>
      </c>
      <c r="I15" s="1799"/>
      <c r="J15" s="1754"/>
      <c r="K15" s="1784"/>
      <c r="L15" s="830" t="str">
        <f>"MPN" &amp; CHAR(185)</f>
        <v>MPN¹</v>
      </c>
      <c r="M15" s="830">
        <v>3.0</v>
      </c>
      <c r="N15" s="1864">
        <v>0.105</v>
      </c>
      <c r="O15" s="830" t="s">
        <v>1531</v>
      </c>
      <c r="P15" s="1799"/>
      <c r="Q15" s="1784"/>
      <c r="R15" s="1821" t="s">
        <v>234</v>
      </c>
      <c r="S15" s="1821">
        <v>3.0</v>
      </c>
      <c r="T15" s="1821" t="s">
        <v>1527</v>
      </c>
      <c r="U15" s="1821" t="s">
        <v>1531</v>
      </c>
      <c r="V15" s="1754"/>
      <c r="W15" s="1754"/>
      <c r="X15" s="1784"/>
      <c r="Y15" s="1821" t="s">
        <v>234</v>
      </c>
      <c r="Z15" s="1821">
        <v>3.0</v>
      </c>
      <c r="AA15" s="1865">
        <v>0.119</v>
      </c>
      <c r="AB15" s="1821" t="s">
        <v>1531</v>
      </c>
      <c r="AC15" s="1754"/>
      <c r="AD15" s="1784"/>
      <c r="AE15" s="1821" t="s">
        <v>234</v>
      </c>
      <c r="AF15" s="1821">
        <v>3.0</v>
      </c>
      <c r="AG15" s="1821"/>
      <c r="AH15" s="1821" t="s">
        <v>1531</v>
      </c>
      <c r="AI15" s="1754"/>
      <c r="AJ15" s="1754"/>
      <c r="AK15" s="1754"/>
      <c r="AL15" s="1784"/>
      <c r="AM15" s="1866" t="s">
        <v>1253</v>
      </c>
      <c r="AN15" s="1866">
        <v>4.0</v>
      </c>
      <c r="AO15" s="1867">
        <v>0.1469</v>
      </c>
      <c r="AP15" s="1866" t="s">
        <v>1530</v>
      </c>
      <c r="AQ15" s="1820"/>
      <c r="AR15" s="1754"/>
      <c r="AS15" s="1754"/>
      <c r="AT15" s="1784"/>
      <c r="AU15" s="1866" t="s">
        <v>1253</v>
      </c>
      <c r="AV15" s="1866">
        <v>3.0</v>
      </c>
      <c r="AW15" s="1866" t="s">
        <v>1531</v>
      </c>
      <c r="AX15" s="573"/>
      <c r="AY15" s="1754"/>
      <c r="AZ15" s="1754"/>
      <c r="BB15" s="1784"/>
      <c r="BC15" s="1868" t="s">
        <v>175</v>
      </c>
      <c r="BD15" s="1868">
        <v>4.0</v>
      </c>
      <c r="BE15" s="1869">
        <v>0.1143</v>
      </c>
      <c r="BF15" s="1800"/>
      <c r="BG15" s="1870"/>
      <c r="BH15" s="1871"/>
      <c r="BI15" s="1872" t="s">
        <v>255</v>
      </c>
      <c r="BJ15" s="1872">
        <v>3.0</v>
      </c>
      <c r="BK15" s="1873">
        <v>0.12</v>
      </c>
      <c r="BL15" s="1754"/>
      <c r="BM15" s="573"/>
      <c r="BN15" s="1754"/>
      <c r="BO15" s="1754"/>
      <c r="BP15" s="1784"/>
      <c r="BQ15" s="1842" t="s">
        <v>31</v>
      </c>
      <c r="BR15" s="1842">
        <v>4.0</v>
      </c>
      <c r="BS15" s="1843">
        <v>0.16</v>
      </c>
      <c r="BT15" s="573"/>
      <c r="BU15" s="1754"/>
      <c r="BV15" s="1754"/>
      <c r="BW15" s="1784"/>
      <c r="BX15" s="1874" t="s">
        <v>31</v>
      </c>
      <c r="BY15" s="1874">
        <v>5.0</v>
      </c>
      <c r="BZ15" s="1875">
        <v>0.2</v>
      </c>
      <c r="CA15" s="427"/>
    </row>
    <row r="16">
      <c r="A16" s="1812"/>
      <c r="B16" s="1812"/>
      <c r="C16" s="1812"/>
      <c r="D16" s="1813"/>
      <c r="E16" s="1876" t="str">
        <f>"CPN" &amp; CHAR(185)</f>
        <v>CPN¹</v>
      </c>
      <c r="F16" s="1877">
        <v>3.0</v>
      </c>
      <c r="G16" s="1878">
        <v>0.1184</v>
      </c>
      <c r="H16" s="1878">
        <v>0.125</v>
      </c>
      <c r="I16" s="1754"/>
      <c r="J16" s="1754"/>
      <c r="K16" s="1784"/>
      <c r="L16" s="1879" t="s">
        <v>1207</v>
      </c>
      <c r="M16" s="1879">
        <v>3.0</v>
      </c>
      <c r="N16" s="1880">
        <v>0.1218</v>
      </c>
      <c r="O16" s="1879" t="s">
        <v>1531</v>
      </c>
      <c r="P16" s="1799"/>
      <c r="Q16" s="1784"/>
      <c r="R16" s="1879" t="s">
        <v>1207</v>
      </c>
      <c r="S16" s="1879">
        <v>3.0</v>
      </c>
      <c r="T16" s="1879" t="s">
        <v>1527</v>
      </c>
      <c r="U16" s="1879" t="s">
        <v>1531</v>
      </c>
      <c r="V16" s="1754"/>
      <c r="W16" s="1754"/>
      <c r="X16" s="1784"/>
      <c r="Y16" s="1879" t="s">
        <v>1207</v>
      </c>
      <c r="Z16" s="1879">
        <v>3.0</v>
      </c>
      <c r="AA16" s="1880">
        <v>0.1135</v>
      </c>
      <c r="AB16" s="1879" t="s">
        <v>1531</v>
      </c>
      <c r="AC16" s="1754"/>
      <c r="AD16" s="1784"/>
      <c r="AE16" s="832" t="s">
        <v>1188</v>
      </c>
      <c r="AF16" s="832">
        <v>2.0</v>
      </c>
      <c r="AG16" s="832"/>
      <c r="AH16" s="832" t="s">
        <v>1532</v>
      </c>
      <c r="AI16" s="1754"/>
      <c r="AJ16" s="1754"/>
      <c r="AK16" s="1754"/>
      <c r="AL16" s="1784"/>
      <c r="AM16" s="1821" t="s">
        <v>234</v>
      </c>
      <c r="AN16" s="1821">
        <v>3.0</v>
      </c>
      <c r="AO16" s="1865">
        <v>0.1125</v>
      </c>
      <c r="AP16" s="1821" t="s">
        <v>1531</v>
      </c>
      <c r="AQ16" s="1820"/>
      <c r="AR16" s="1754"/>
      <c r="AS16" s="1754"/>
      <c r="AT16" s="1784"/>
      <c r="AU16" s="1881" t="s">
        <v>1255</v>
      </c>
      <c r="AV16" s="1881">
        <v>3.0</v>
      </c>
      <c r="AW16" s="1881" t="s">
        <v>1531</v>
      </c>
      <c r="AX16" s="573"/>
      <c r="AY16" s="1754"/>
      <c r="AZ16" s="1754"/>
      <c r="BB16" s="1784"/>
      <c r="BC16" s="1842" t="s">
        <v>31</v>
      </c>
      <c r="BD16" s="1842">
        <v>4.0</v>
      </c>
      <c r="BE16" s="1843">
        <v>0.1143</v>
      </c>
      <c r="BF16" s="1800"/>
      <c r="BG16" s="573"/>
      <c r="BH16" s="1825"/>
      <c r="BI16" s="1840" t="s">
        <v>1287</v>
      </c>
      <c r="BJ16" s="1840">
        <v>2.0</v>
      </c>
      <c r="BK16" s="1841">
        <v>0.08</v>
      </c>
      <c r="BL16" s="1754"/>
      <c r="BM16" s="573"/>
      <c r="BN16" s="1754"/>
      <c r="BO16" s="1754"/>
      <c r="BP16" s="1784"/>
      <c r="BQ16" s="1872" t="s">
        <v>255</v>
      </c>
      <c r="BR16" s="1872">
        <v>2.0</v>
      </c>
      <c r="BS16" s="1873">
        <v>0.08</v>
      </c>
      <c r="BT16" s="1754"/>
      <c r="BU16" s="1754"/>
      <c r="BV16" s="1754"/>
      <c r="BW16" s="1784"/>
      <c r="BX16" s="1882" t="s">
        <v>115</v>
      </c>
      <c r="BY16" s="1882">
        <v>1.0</v>
      </c>
      <c r="BZ16" s="1883">
        <v>0.04</v>
      </c>
      <c r="CA16" s="427"/>
    </row>
    <row r="17">
      <c r="A17" s="1812"/>
      <c r="B17" s="1812"/>
      <c r="C17" s="1812"/>
      <c r="D17" s="1813"/>
      <c r="E17" s="1879" t="s">
        <v>1207</v>
      </c>
      <c r="F17" s="1884">
        <v>1.0</v>
      </c>
      <c r="G17" s="1885">
        <v>0.0592</v>
      </c>
      <c r="H17" s="1885">
        <v>0.0417</v>
      </c>
      <c r="I17" s="1754"/>
      <c r="J17" s="1754"/>
      <c r="K17" s="1784"/>
      <c r="L17" s="846" t="str">
        <f>"S&amp;V" &amp; CHAR(185)</f>
        <v>S&amp;V¹</v>
      </c>
      <c r="M17" s="846">
        <v>2.0</v>
      </c>
      <c r="N17" s="1886">
        <v>0.0798</v>
      </c>
      <c r="O17" s="846" t="s">
        <v>1532</v>
      </c>
      <c r="P17" s="1799"/>
      <c r="Q17" s="1784"/>
      <c r="R17" s="846" t="s">
        <v>1214</v>
      </c>
      <c r="S17" s="846">
        <v>2.0</v>
      </c>
      <c r="T17" s="846" t="s">
        <v>1527</v>
      </c>
      <c r="U17" s="846" t="s">
        <v>1532</v>
      </c>
      <c r="V17" s="1754"/>
      <c r="W17" s="1754"/>
      <c r="X17" s="1784"/>
      <c r="Y17" s="854" t="s">
        <v>1225</v>
      </c>
      <c r="Z17" s="854">
        <v>2.0</v>
      </c>
      <c r="AA17" s="1887">
        <v>0.0702</v>
      </c>
      <c r="AB17" s="854" t="s">
        <v>1532</v>
      </c>
      <c r="AC17" s="1754"/>
      <c r="AD17" s="1784"/>
      <c r="AE17" s="1879" t="s">
        <v>1207</v>
      </c>
      <c r="AF17" s="1879">
        <v>2.0</v>
      </c>
      <c r="AG17" s="1879"/>
      <c r="AH17" s="1879" t="s">
        <v>1532</v>
      </c>
      <c r="AI17" s="1754"/>
      <c r="AJ17" s="1754"/>
      <c r="AK17" s="1754"/>
      <c r="AL17" s="1784"/>
      <c r="AM17" s="1881" t="s">
        <v>1255</v>
      </c>
      <c r="AN17" s="1881">
        <v>2.0</v>
      </c>
      <c r="AO17" s="1888">
        <v>0.0625</v>
      </c>
      <c r="AP17" s="1881" t="s">
        <v>1532</v>
      </c>
      <c r="AQ17" s="1820"/>
      <c r="AR17" s="1754"/>
      <c r="AS17" s="1754"/>
      <c r="AT17" s="1784"/>
      <c r="AU17" s="1889" t="s">
        <v>1260</v>
      </c>
      <c r="AV17" s="1889">
        <v>3.0</v>
      </c>
      <c r="AW17" s="1889" t="s">
        <v>1531</v>
      </c>
      <c r="AX17" s="573"/>
      <c r="AY17" s="1754"/>
      <c r="AZ17" s="1754"/>
      <c r="BB17" s="1784"/>
      <c r="BC17" s="1890" t="s">
        <v>169</v>
      </c>
      <c r="BD17" s="1890">
        <v>3.0</v>
      </c>
      <c r="BE17" s="1891">
        <v>0.0857</v>
      </c>
      <c r="BF17" s="1800"/>
      <c r="BG17" s="573"/>
      <c r="BH17" s="1825"/>
      <c r="BI17" s="1892" t="s">
        <v>1303</v>
      </c>
      <c r="BJ17" s="1892">
        <v>1.0</v>
      </c>
      <c r="BK17" s="1893">
        <v>0.04</v>
      </c>
      <c r="BL17" s="1754"/>
      <c r="BM17" s="573"/>
      <c r="BN17" s="1754"/>
      <c r="BO17" s="1754"/>
      <c r="BP17" s="1784"/>
      <c r="BQ17" s="1894" t="s">
        <v>333</v>
      </c>
      <c r="BR17" s="1894">
        <v>2.0</v>
      </c>
      <c r="BS17" s="1895">
        <v>0.08</v>
      </c>
      <c r="BT17" s="1754"/>
      <c r="BU17" s="1754"/>
      <c r="BV17" s="1754"/>
      <c r="BW17" s="1784"/>
      <c r="BX17" s="1754"/>
      <c r="BY17" s="1799">
        <v>25.0</v>
      </c>
      <c r="BZ17" s="1896">
        <v>1.0</v>
      </c>
      <c r="CA17" s="1754"/>
      <c r="CB17" s="1754"/>
    </row>
    <row r="18">
      <c r="A18" s="1784"/>
      <c r="B18" s="1784"/>
      <c r="C18" s="1784"/>
      <c r="D18" s="1897"/>
      <c r="E18" s="1898" t="s">
        <v>169</v>
      </c>
      <c r="F18" s="1899">
        <v>1.0</v>
      </c>
      <c r="G18" s="1900">
        <v>0.0526</v>
      </c>
      <c r="H18" s="1900">
        <v>0.0417</v>
      </c>
      <c r="I18" s="1754"/>
      <c r="J18" s="1754"/>
      <c r="K18" s="1784"/>
      <c r="L18" s="1898" t="s">
        <v>169</v>
      </c>
      <c r="M18" s="1898">
        <v>1.0</v>
      </c>
      <c r="N18" s="1901">
        <v>0.0378</v>
      </c>
      <c r="O18" s="1898" t="s">
        <v>1533</v>
      </c>
      <c r="P18" s="1799"/>
      <c r="Q18" s="1784"/>
      <c r="R18" s="856" t="s">
        <v>1227</v>
      </c>
      <c r="S18" s="856">
        <v>2.0</v>
      </c>
      <c r="T18" s="856" t="s">
        <v>1527</v>
      </c>
      <c r="U18" s="856" t="s">
        <v>1532</v>
      </c>
      <c r="V18" s="1754"/>
      <c r="W18" s="1754"/>
      <c r="X18" s="1784"/>
      <c r="Y18" s="856" t="s">
        <v>1227</v>
      </c>
      <c r="Z18" s="856">
        <v>2.0</v>
      </c>
      <c r="AA18" s="1902">
        <v>0.0756</v>
      </c>
      <c r="AB18" s="856" t="s">
        <v>1532</v>
      </c>
      <c r="AC18" s="1754"/>
      <c r="AD18" s="1784"/>
      <c r="AE18" s="1903" t="s">
        <v>1231</v>
      </c>
      <c r="AF18" s="1903">
        <v>1.0</v>
      </c>
      <c r="AG18" s="1903"/>
      <c r="AH18" s="1903" t="s">
        <v>1533</v>
      </c>
      <c r="AI18" s="1754"/>
      <c r="AJ18" s="1754"/>
      <c r="AK18" s="1754"/>
      <c r="AL18" s="1784"/>
      <c r="AM18" s="1904" t="s">
        <v>1244</v>
      </c>
      <c r="AN18" s="1904">
        <v>1.0</v>
      </c>
      <c r="AO18" s="1905">
        <v>0.0375</v>
      </c>
      <c r="AP18" s="1904" t="s">
        <v>1533</v>
      </c>
      <c r="AQ18" s="1820"/>
      <c r="AR18" s="1754"/>
      <c r="AS18" s="1754"/>
      <c r="AT18" s="1784"/>
      <c r="AU18" s="1906" t="s">
        <v>200</v>
      </c>
      <c r="AV18" s="1906">
        <v>2.0</v>
      </c>
      <c r="AW18" s="1906" t="s">
        <v>1532</v>
      </c>
      <c r="AX18" s="1754"/>
      <c r="AY18" s="1754"/>
      <c r="AZ18" s="1754"/>
      <c r="BB18" s="1784"/>
      <c r="BC18" s="1907" t="s">
        <v>228</v>
      </c>
      <c r="BD18" s="1907">
        <v>3.0</v>
      </c>
      <c r="BE18" s="1908">
        <v>0.0857</v>
      </c>
      <c r="BF18" s="1800"/>
      <c r="BG18" s="573"/>
      <c r="BH18" s="1825"/>
      <c r="BI18" s="1909" t="s">
        <v>258</v>
      </c>
      <c r="BJ18" s="1909">
        <v>1.0</v>
      </c>
      <c r="BK18" s="1910">
        <v>0.04</v>
      </c>
      <c r="BL18" s="1754"/>
      <c r="BM18" s="1754"/>
      <c r="BN18" s="1754"/>
      <c r="BO18" s="1754"/>
      <c r="BP18" s="1784"/>
      <c r="BQ18" s="962" t="s">
        <v>214</v>
      </c>
      <c r="BR18" s="962">
        <v>2.0</v>
      </c>
      <c r="BS18" s="1826">
        <v>0.08</v>
      </c>
      <c r="BT18" s="1754"/>
      <c r="BU18" s="1754"/>
      <c r="BV18" s="1754"/>
      <c r="BW18" s="1784"/>
      <c r="BX18" s="1754"/>
      <c r="BY18" s="1911">
        <v>25.0</v>
      </c>
      <c r="BZ18" s="1754"/>
      <c r="CA18" s="1754"/>
      <c r="CB18" s="1754"/>
    </row>
    <row r="19">
      <c r="A19" s="1784"/>
      <c r="B19" s="1784"/>
      <c r="C19" s="1784"/>
      <c r="D19" s="1897"/>
      <c r="E19" s="1912" t="str">
        <f>"SP" &amp; CHAR(178)</f>
        <v>SP²</v>
      </c>
      <c r="F19" s="1913">
        <v>1.0</v>
      </c>
      <c r="G19" s="1914">
        <v>0.0526</v>
      </c>
      <c r="H19" s="1914">
        <v>0.0417</v>
      </c>
      <c r="I19" s="1754"/>
      <c r="J19" s="1754"/>
      <c r="K19" s="1784"/>
      <c r="L19" s="1915" t="s">
        <v>1196</v>
      </c>
      <c r="M19" s="1916">
        <v>1.0</v>
      </c>
      <c r="N19" s="1917">
        <v>0.063</v>
      </c>
      <c r="O19" s="1916" t="s">
        <v>1533</v>
      </c>
      <c r="P19" s="1799"/>
      <c r="Q19" s="1784"/>
      <c r="R19" s="1918" t="s">
        <v>169</v>
      </c>
      <c r="S19" s="1918">
        <v>1.0</v>
      </c>
      <c r="T19" s="1918" t="s">
        <v>1527</v>
      </c>
      <c r="U19" s="1918" t="s">
        <v>1533</v>
      </c>
      <c r="V19" s="1754"/>
      <c r="W19" s="1754"/>
      <c r="X19" s="1784"/>
      <c r="Y19" s="861" t="s">
        <v>1233</v>
      </c>
      <c r="Z19" s="861">
        <v>2.0</v>
      </c>
      <c r="AA19" s="1919">
        <v>0.0919</v>
      </c>
      <c r="AB19" s="1919">
        <v>0.08</v>
      </c>
      <c r="AC19" s="1754"/>
      <c r="AD19" s="1784"/>
      <c r="AE19" s="1800"/>
      <c r="AF19" s="1920">
        <v>25.0</v>
      </c>
      <c r="AH19" s="1921">
        <v>1.0</v>
      </c>
      <c r="AI19" s="1754"/>
      <c r="AJ19" s="1754"/>
      <c r="AK19" s="1754"/>
      <c r="AL19" s="1784"/>
      <c r="AM19" s="1754"/>
      <c r="AN19" s="1799">
        <v>25.0</v>
      </c>
      <c r="AO19" s="1799" t="s">
        <v>1534</v>
      </c>
      <c r="AP19" s="1921">
        <v>1.0</v>
      </c>
      <c r="AQ19" s="1754"/>
      <c r="AR19" s="1754"/>
      <c r="AS19" s="1754"/>
      <c r="AT19" s="1784"/>
      <c r="AU19" s="1799"/>
      <c r="AV19" s="1799">
        <v>25.0</v>
      </c>
      <c r="AW19" s="1921">
        <v>1.0</v>
      </c>
      <c r="AX19" s="1754"/>
      <c r="AY19" s="1754"/>
      <c r="AZ19" s="1754"/>
      <c r="BA19" s="1784"/>
      <c r="BB19" s="1784"/>
      <c r="BC19" s="1922" t="s">
        <v>234</v>
      </c>
      <c r="BD19" s="1922">
        <v>3.0</v>
      </c>
      <c r="BE19" s="1923">
        <v>0.0857</v>
      </c>
      <c r="BF19" s="1800"/>
      <c r="BG19" s="573"/>
      <c r="BH19" s="1825"/>
      <c r="BI19" s="1924" t="s">
        <v>274</v>
      </c>
      <c r="BJ19" s="1924">
        <v>1.0</v>
      </c>
      <c r="BK19" s="1925">
        <v>0.04</v>
      </c>
      <c r="BL19" s="1754"/>
      <c r="BM19" s="1754"/>
      <c r="BN19" s="1754"/>
      <c r="BO19" s="1754"/>
      <c r="BP19" s="1784"/>
      <c r="BQ19" s="1882" t="s">
        <v>115</v>
      </c>
      <c r="BR19" s="1882">
        <v>1.0</v>
      </c>
      <c r="BS19" s="1883">
        <v>0.04</v>
      </c>
      <c r="BT19" s="1754"/>
      <c r="BU19" s="1754"/>
      <c r="BV19" s="1754"/>
      <c r="BW19" s="1784"/>
      <c r="BX19" s="1754"/>
      <c r="BY19" s="1911">
        <v>25.0</v>
      </c>
      <c r="BZ19" s="1754"/>
      <c r="CA19" s="1754"/>
      <c r="CB19" s="1754"/>
    </row>
    <row r="20">
      <c r="A20" s="1784"/>
      <c r="B20" s="1784"/>
      <c r="C20" s="1784"/>
      <c r="D20" s="1897"/>
      <c r="E20" s="1916" t="s">
        <v>1196</v>
      </c>
      <c r="F20" s="1926">
        <v>1.0</v>
      </c>
      <c r="G20" s="1927">
        <v>0.0658</v>
      </c>
      <c r="H20" s="1927">
        <v>0.0417</v>
      </c>
      <c r="I20" s="1754"/>
      <c r="J20" s="1754"/>
      <c r="K20" s="1784"/>
      <c r="L20" s="1928"/>
      <c r="M20" s="1929">
        <f t="shared" ref="M20:N20" si="1">SUM(M12:M19)</f>
        <v>25</v>
      </c>
      <c r="N20" s="1930">
        <f t="shared" si="1"/>
        <v>0.9998</v>
      </c>
      <c r="O20" s="1931">
        <v>1.0</v>
      </c>
      <c r="P20" s="1754"/>
      <c r="Q20" s="1784"/>
      <c r="R20" s="1932"/>
      <c r="S20" s="1932">
        <f>SUM(S12:S19)</f>
        <v>25</v>
      </c>
      <c r="T20" s="1933" t="s">
        <v>1527</v>
      </c>
      <c r="U20" s="1934">
        <v>1.0</v>
      </c>
      <c r="V20" s="1754"/>
      <c r="W20" s="1754"/>
      <c r="X20" s="1784"/>
      <c r="Y20" s="1935" t="s">
        <v>1200</v>
      </c>
      <c r="Z20" s="1935">
        <v>1.0</v>
      </c>
      <c r="AA20" s="1936">
        <v>0.0594</v>
      </c>
      <c r="AB20" s="1935" t="s">
        <v>1533</v>
      </c>
      <c r="AC20" s="1754"/>
      <c r="AD20" s="1784"/>
      <c r="AE20" s="1937"/>
      <c r="AF20" s="1937"/>
      <c r="AG20" s="1937"/>
      <c r="AH20" s="1937"/>
      <c r="AI20" s="1937"/>
      <c r="AJ20" s="1754"/>
      <c r="AK20" s="1754"/>
      <c r="AL20" s="1784"/>
      <c r="AM20" s="1754"/>
      <c r="AN20" s="1754"/>
      <c r="AO20" s="1754"/>
      <c r="AP20" s="1754"/>
      <c r="AQ20" s="1754"/>
      <c r="AR20" s="1754"/>
      <c r="AS20" s="1754"/>
      <c r="AT20" s="1784"/>
      <c r="AU20" s="1754"/>
      <c r="AV20" s="1754"/>
      <c r="AW20" s="1754"/>
      <c r="AX20" s="1754"/>
      <c r="AY20" s="1754"/>
      <c r="AZ20" s="1754"/>
      <c r="BA20" s="1784"/>
      <c r="BB20" s="1784"/>
      <c r="BC20" s="1892" t="s">
        <v>1303</v>
      </c>
      <c r="BD20" s="1892">
        <v>2.0</v>
      </c>
      <c r="BE20" s="1893">
        <v>0.0571</v>
      </c>
      <c r="BF20" s="1800"/>
      <c r="BG20" s="573"/>
      <c r="BH20" s="1825"/>
      <c r="BI20" s="573"/>
      <c r="BJ20" s="1938">
        <v>25.0</v>
      </c>
      <c r="BK20" s="1939">
        <v>1.0</v>
      </c>
      <c r="BL20" s="1754"/>
      <c r="BM20" s="1754"/>
      <c r="BN20" s="1754"/>
      <c r="BO20" s="1754"/>
      <c r="BP20" s="1784"/>
      <c r="BQ20" s="1940"/>
      <c r="BR20" s="1799">
        <v>25.0</v>
      </c>
      <c r="BS20" s="1896">
        <v>1.0</v>
      </c>
      <c r="BT20" s="1754"/>
      <c r="BU20" s="1754"/>
      <c r="BV20" s="1754"/>
      <c r="BW20" s="1784"/>
      <c r="BX20" s="1754"/>
      <c r="BY20" s="1911">
        <v>25.0</v>
      </c>
      <c r="BZ20" s="1754"/>
      <c r="CA20" s="1754"/>
      <c r="CB20" s="1754"/>
    </row>
    <row r="21">
      <c r="A21" s="1784"/>
      <c r="B21" s="1784"/>
      <c r="C21" s="1784"/>
      <c r="D21" s="1897"/>
      <c r="E21" s="1941" t="str">
        <f>"SNL" &amp; CHAR(178)</f>
        <v>SNL²</v>
      </c>
      <c r="F21" s="1942">
        <v>0.0</v>
      </c>
      <c r="G21" s="1943">
        <v>0.0197</v>
      </c>
      <c r="H21" s="1943">
        <v>0.0</v>
      </c>
      <c r="I21" s="1754"/>
      <c r="J21" s="1754"/>
      <c r="K21" s="1784"/>
      <c r="L21" s="1754"/>
      <c r="M21" s="1754"/>
      <c r="N21" s="1754"/>
      <c r="O21" s="1754"/>
      <c r="P21" s="1754"/>
      <c r="Q21" s="1784"/>
      <c r="R21" s="1754"/>
      <c r="S21" s="1754"/>
      <c r="T21" s="1754"/>
      <c r="U21" s="1754"/>
      <c r="V21" s="1754"/>
      <c r="W21" s="1754"/>
      <c r="X21" s="1784"/>
      <c r="Y21" s="1754"/>
      <c r="Z21" s="1754">
        <f t="shared" ref="Z21:AA21" si="2">SUM(Z12:Z20)</f>
        <v>25</v>
      </c>
      <c r="AA21" s="1944">
        <f t="shared" si="2"/>
        <v>0.9999</v>
      </c>
      <c r="AB21" s="1921">
        <v>1.0</v>
      </c>
      <c r="AC21" s="1754"/>
      <c r="AD21" s="1784"/>
      <c r="AE21" s="1937"/>
      <c r="AF21" s="1937"/>
      <c r="AG21" s="1937"/>
      <c r="AH21" s="1937"/>
      <c r="AI21" s="1937"/>
      <c r="AJ21" s="1754"/>
      <c r="AK21" s="1754"/>
      <c r="AL21" s="1784"/>
      <c r="AM21" s="1754"/>
      <c r="AN21" s="573"/>
      <c r="AO21" s="1754"/>
      <c r="AP21" s="1754"/>
      <c r="AQ21" s="1754"/>
      <c r="AR21" s="1754"/>
      <c r="AS21" s="1754"/>
      <c r="AT21" s="1784"/>
      <c r="AU21" s="1754"/>
      <c r="AV21" s="1754"/>
      <c r="AW21" s="1754"/>
      <c r="AX21" s="1754"/>
      <c r="AY21" s="1754"/>
      <c r="AZ21" s="1754"/>
      <c r="BA21" s="1784"/>
      <c r="BB21" s="1784"/>
      <c r="BC21" s="1945" t="s">
        <v>200</v>
      </c>
      <c r="BD21" s="1945">
        <v>1.0</v>
      </c>
      <c r="BE21" s="1946">
        <v>0.0286</v>
      </c>
      <c r="BF21" s="1800"/>
      <c r="BG21" s="573"/>
      <c r="BH21" s="1825"/>
      <c r="BI21" s="573"/>
      <c r="BJ21" s="1911">
        <v>25.0</v>
      </c>
      <c r="BK21" s="1754"/>
      <c r="BL21" s="1754"/>
      <c r="BM21" s="1754"/>
      <c r="BN21" s="1754"/>
      <c r="BO21" s="1754"/>
      <c r="BP21" s="1784"/>
      <c r="BQ21" s="1754"/>
      <c r="BR21" s="1911">
        <v>25.0</v>
      </c>
      <c r="BS21" s="1754"/>
      <c r="BT21" s="1754"/>
      <c r="BU21" s="1754"/>
      <c r="BV21" s="1754"/>
      <c r="BW21" s="1784"/>
      <c r="BX21" s="1754"/>
      <c r="BY21" s="1911">
        <v>25.0</v>
      </c>
      <c r="BZ21" s="1754"/>
      <c r="CA21" s="1754"/>
      <c r="CB21" s="1754"/>
    </row>
    <row r="22">
      <c r="A22" s="1784"/>
      <c r="B22" s="1784"/>
      <c r="C22" s="1947"/>
      <c r="D22" s="1897"/>
      <c r="E22" s="1948" t="str">
        <f>"GD" &amp; CHAR(179)</f>
        <v>GD³</v>
      </c>
      <c r="F22" s="1949">
        <v>1.0</v>
      </c>
      <c r="G22" s="1950">
        <v>0.0</v>
      </c>
      <c r="H22" s="1950">
        <v>0.0</v>
      </c>
      <c r="I22" s="1754"/>
      <c r="J22" s="1754"/>
      <c r="K22" s="1784"/>
      <c r="L22" s="1799" t="s">
        <v>1535</v>
      </c>
      <c r="M22" s="1754"/>
      <c r="N22" s="1754"/>
      <c r="O22" s="1754"/>
      <c r="P22" s="1754"/>
      <c r="Q22" s="1784"/>
      <c r="R22" s="1754"/>
      <c r="S22" s="1754"/>
      <c r="T22" s="1754"/>
      <c r="U22" s="1754"/>
      <c r="V22" s="1754"/>
      <c r="W22" s="1754"/>
      <c r="X22" s="1784"/>
      <c r="Y22" s="1754"/>
      <c r="Z22" s="1754"/>
      <c r="AA22" s="1754"/>
      <c r="AB22" s="1754"/>
      <c r="AC22" s="1754"/>
      <c r="AD22" s="1784"/>
      <c r="AE22" s="1937"/>
      <c r="AF22" s="1937"/>
      <c r="AG22" s="1937"/>
      <c r="AH22" s="1937"/>
      <c r="AI22" s="1937"/>
      <c r="AJ22" s="1754"/>
      <c r="AK22" s="1754"/>
      <c r="AL22" s="1784"/>
      <c r="AM22" s="1754"/>
      <c r="AN22" s="573"/>
      <c r="AO22" s="1754"/>
      <c r="AP22" s="1754"/>
      <c r="AQ22" s="1754"/>
      <c r="AR22" s="1754"/>
      <c r="AS22" s="1754"/>
      <c r="AT22" s="1784"/>
      <c r="AU22" s="1754"/>
      <c r="AV22" s="1754"/>
      <c r="AW22" s="1754"/>
      <c r="AX22" s="1754"/>
      <c r="AY22" s="1754"/>
      <c r="AZ22" s="1754"/>
      <c r="BA22" s="1784"/>
      <c r="BB22" s="1784"/>
      <c r="BC22" s="1951" t="s">
        <v>1285</v>
      </c>
      <c r="BD22" s="1951">
        <v>1.0</v>
      </c>
      <c r="BE22" s="1952">
        <v>0.0286</v>
      </c>
      <c r="BF22" s="1800"/>
      <c r="BG22" s="573"/>
      <c r="BH22" s="1825"/>
      <c r="BI22" s="573"/>
      <c r="BJ22" s="1911">
        <v>25.0</v>
      </c>
      <c r="BK22" s="1754"/>
      <c r="BL22" s="1754"/>
      <c r="BM22" s="1754"/>
      <c r="BN22" s="1754"/>
      <c r="BO22" s="1754"/>
      <c r="BP22" s="1784"/>
      <c r="BQ22" s="1754"/>
      <c r="BR22" s="1911">
        <v>25.0</v>
      </c>
      <c r="BS22" s="1754"/>
      <c r="BT22" s="1754"/>
      <c r="BU22" s="1754"/>
      <c r="BV22" s="1754"/>
      <c r="BW22" s="1784"/>
      <c r="BX22" s="1754"/>
      <c r="BY22" s="1911">
        <v>25.0</v>
      </c>
      <c r="BZ22" s="1754"/>
      <c r="CA22" s="1754"/>
      <c r="CB22" s="1754"/>
    </row>
    <row r="23">
      <c r="A23" s="1784"/>
      <c r="B23" s="1784"/>
      <c r="C23" s="1784"/>
      <c r="D23" s="1897"/>
      <c r="E23" s="573"/>
      <c r="F23" s="1953">
        <f t="shared" ref="F23:H23" si="3">SUM(F12:F22)</f>
        <v>25</v>
      </c>
      <c r="G23" s="1954">
        <f t="shared" si="3"/>
        <v>0.9932</v>
      </c>
      <c r="H23" s="1954">
        <f t="shared" si="3"/>
        <v>1.0002</v>
      </c>
      <c r="I23" s="1754"/>
      <c r="J23" s="1754"/>
      <c r="K23" s="1784"/>
      <c r="L23" s="1754"/>
      <c r="M23" s="1754"/>
      <c r="N23" s="1754"/>
      <c r="O23" s="1754"/>
      <c r="P23" s="1754"/>
      <c r="Q23" s="1784"/>
      <c r="R23" s="1754"/>
      <c r="S23" s="1754"/>
      <c r="T23" s="1754"/>
      <c r="U23" s="1754"/>
      <c r="V23" s="1754"/>
      <c r="W23" s="1754"/>
      <c r="X23" s="1784"/>
      <c r="Y23" s="1754"/>
      <c r="Z23" s="1754"/>
      <c r="AA23" s="1754"/>
      <c r="AB23" s="1754"/>
      <c r="AC23" s="1754"/>
      <c r="AD23" s="1784"/>
      <c r="AE23" s="1937" t="s">
        <v>1536</v>
      </c>
      <c r="AJ23" s="1754"/>
      <c r="AK23" s="1754"/>
      <c r="AL23" s="1784"/>
      <c r="AM23" s="1754"/>
      <c r="AN23" s="573"/>
      <c r="AO23" s="1754"/>
      <c r="AP23" s="1754"/>
      <c r="AQ23" s="1754"/>
      <c r="AR23" s="1754"/>
      <c r="AS23" s="1754"/>
      <c r="AT23" s="1784"/>
      <c r="AU23" s="1754"/>
      <c r="AV23" s="1754"/>
      <c r="AW23" s="1754"/>
      <c r="AX23" s="1754"/>
      <c r="AY23" s="1754"/>
      <c r="AZ23" s="1754"/>
      <c r="BA23" s="1784"/>
      <c r="BB23" s="1784"/>
      <c r="BC23" s="1754"/>
      <c r="BD23" s="1938">
        <v>35.0</v>
      </c>
      <c r="BE23" s="1939">
        <v>1.0</v>
      </c>
      <c r="BF23" s="1754"/>
      <c r="BG23" s="1754"/>
      <c r="BH23" s="1784"/>
      <c r="BI23" s="1754"/>
      <c r="BJ23" s="1911">
        <v>25.0</v>
      </c>
      <c r="BK23" s="1754"/>
      <c r="BL23" s="1754"/>
      <c r="BM23" s="1754"/>
      <c r="BN23" s="1754"/>
      <c r="BO23" s="1754"/>
      <c r="BP23" s="1784"/>
      <c r="BQ23" s="1754"/>
      <c r="BR23" s="1911">
        <v>25.0</v>
      </c>
      <c r="BS23" s="1754"/>
      <c r="BT23" s="1754"/>
      <c r="BU23" s="1754"/>
      <c r="BV23" s="1754"/>
      <c r="BW23" s="1784"/>
      <c r="BX23" s="1754"/>
      <c r="BY23" s="1754"/>
      <c r="BZ23" s="1754"/>
      <c r="CA23" s="1754"/>
      <c r="CB23" s="1754"/>
    </row>
    <row r="24">
      <c r="A24" s="1784"/>
      <c r="B24" s="1784"/>
      <c r="C24" s="1784"/>
      <c r="D24" s="1897"/>
      <c r="E24" s="573"/>
      <c r="F24" s="1754"/>
      <c r="G24" s="1754"/>
      <c r="H24" s="1754"/>
      <c r="I24" s="1754"/>
      <c r="J24" s="1754"/>
      <c r="K24" s="1784"/>
      <c r="L24" s="1754"/>
      <c r="M24" s="1955"/>
      <c r="N24" s="1956"/>
      <c r="O24" s="1955"/>
      <c r="P24" s="1754"/>
      <c r="Q24" s="1784"/>
      <c r="R24" s="1754"/>
      <c r="S24" s="1754"/>
      <c r="T24" s="1754"/>
      <c r="U24" s="1754"/>
      <c r="V24" s="1754"/>
      <c r="W24" s="1754"/>
      <c r="X24" s="1784"/>
      <c r="Y24" s="1754"/>
      <c r="Z24" s="1754"/>
      <c r="AA24" s="1754"/>
      <c r="AB24" s="1754"/>
      <c r="AC24" s="1754"/>
      <c r="AD24" s="1784"/>
      <c r="AJ24" s="1754"/>
      <c r="AK24" s="1754"/>
      <c r="AL24" s="1784"/>
      <c r="AM24" s="1754"/>
      <c r="AN24" s="573"/>
      <c r="AO24" s="1754"/>
      <c r="AP24" s="1754"/>
      <c r="AQ24" s="1754"/>
      <c r="AR24" s="1754"/>
      <c r="AS24" s="1754"/>
      <c r="AT24" s="1784"/>
      <c r="AU24" s="1754"/>
      <c r="AV24" s="1754"/>
      <c r="AW24" s="1754"/>
      <c r="AX24" s="1754"/>
      <c r="AY24" s="1754"/>
      <c r="AZ24" s="1754"/>
      <c r="BA24" s="1784"/>
      <c r="BB24" s="1784"/>
      <c r="BC24" s="1754"/>
      <c r="BD24" s="1911">
        <v>35.0</v>
      </c>
      <c r="BE24" s="1754"/>
      <c r="BF24" s="1754"/>
      <c r="BG24" s="1754"/>
      <c r="BH24" s="1784"/>
      <c r="BI24" s="1754"/>
      <c r="BJ24" s="1911">
        <v>25.0</v>
      </c>
      <c r="BK24" s="1754"/>
      <c r="BL24" s="1754"/>
      <c r="BM24" s="1754"/>
      <c r="BN24" s="1754"/>
      <c r="BO24" s="1754"/>
      <c r="BP24" s="1784"/>
      <c r="BQ24" s="1754"/>
      <c r="BR24" s="1911">
        <v>25.0</v>
      </c>
      <c r="BS24" s="1754"/>
      <c r="BT24" s="1754"/>
      <c r="BU24" s="1754"/>
      <c r="BV24" s="1754"/>
      <c r="BW24" s="1784"/>
      <c r="BX24" s="1754"/>
      <c r="BY24" s="1754"/>
      <c r="BZ24" s="1754"/>
      <c r="CA24" s="1754"/>
      <c r="CB24" s="1754"/>
    </row>
    <row r="25">
      <c r="A25" s="1784"/>
      <c r="B25" s="1784"/>
      <c r="C25" s="1784"/>
      <c r="D25" s="1897"/>
      <c r="E25" s="1799" t="s">
        <v>1537</v>
      </c>
      <c r="F25" s="1754"/>
      <c r="G25" s="1754"/>
      <c r="H25" s="1754"/>
      <c r="I25" s="1754"/>
      <c r="J25" s="1754"/>
      <c r="K25" s="1784"/>
      <c r="L25" s="1754"/>
      <c r="M25" s="1754"/>
      <c r="N25" s="1754"/>
      <c r="O25" s="1754"/>
      <c r="P25" s="1754"/>
      <c r="Q25" s="1784"/>
      <c r="R25" s="1754"/>
      <c r="S25" s="1754"/>
      <c r="T25" s="1754"/>
      <c r="U25" s="1754"/>
      <c r="V25" s="1754"/>
      <c r="W25" s="1754"/>
      <c r="X25" s="1784"/>
      <c r="Y25" s="1754"/>
      <c r="Z25" s="1754"/>
      <c r="AA25" s="1754"/>
      <c r="AB25" s="1754"/>
      <c r="AC25" s="1754"/>
      <c r="AD25" s="1784"/>
      <c r="AJ25" s="1754"/>
      <c r="AK25" s="1754"/>
      <c r="AL25" s="1784"/>
      <c r="AM25" s="1754"/>
      <c r="AN25" s="573"/>
      <c r="AO25" s="1754"/>
      <c r="AP25" s="1754"/>
      <c r="AQ25" s="1754"/>
      <c r="AR25" s="1754"/>
      <c r="AS25" s="1754"/>
      <c r="AT25" s="1784"/>
      <c r="AU25" s="1754"/>
      <c r="AV25" s="1754"/>
      <c r="AW25" s="1754"/>
      <c r="AX25" s="1754"/>
      <c r="AY25" s="1754"/>
      <c r="AZ25" s="1754"/>
      <c r="BA25" s="1784"/>
      <c r="BB25" s="1784"/>
      <c r="BC25" s="1754"/>
      <c r="BD25" s="1754"/>
      <c r="BE25" s="1754"/>
      <c r="BF25" s="1754"/>
      <c r="BG25" s="1754"/>
      <c r="BH25" s="1784"/>
      <c r="BI25" s="1754"/>
      <c r="BJ25" s="1911">
        <v>25.0</v>
      </c>
      <c r="BK25" s="1754"/>
      <c r="BL25" s="1754"/>
      <c r="BM25" s="1754"/>
      <c r="BN25" s="1754"/>
      <c r="BO25" s="1754"/>
      <c r="BP25" s="1784"/>
      <c r="BQ25" s="1754"/>
      <c r="BR25" s="1911">
        <v>25.0</v>
      </c>
      <c r="BS25" s="1754"/>
      <c r="BT25" s="1754"/>
      <c r="BU25" s="1754"/>
      <c r="BV25" s="1754"/>
      <c r="BW25" s="1784"/>
      <c r="BX25" s="1754"/>
      <c r="BY25" s="1754"/>
      <c r="BZ25" s="1754"/>
      <c r="CA25" s="1754"/>
      <c r="CB25" s="1754"/>
    </row>
    <row r="26">
      <c r="A26" s="1784"/>
      <c r="B26" s="1784"/>
      <c r="C26" s="1784"/>
      <c r="D26" s="1897"/>
      <c r="E26" s="1799" t="s">
        <v>1538</v>
      </c>
      <c r="F26" s="1754"/>
      <c r="G26" s="1754"/>
      <c r="H26" s="573"/>
      <c r="I26" s="1754"/>
      <c r="J26" s="1754"/>
      <c r="K26" s="1784"/>
      <c r="L26" s="1754"/>
      <c r="M26" s="1754"/>
      <c r="N26" s="1754"/>
      <c r="O26" s="1754"/>
      <c r="P26" s="1754"/>
      <c r="Q26" s="1784"/>
      <c r="R26" s="1754"/>
      <c r="S26" s="1754"/>
      <c r="T26" s="1754"/>
      <c r="U26" s="1754"/>
      <c r="V26" s="1754"/>
      <c r="W26" s="1754"/>
      <c r="X26" s="1784"/>
      <c r="Y26" s="1754"/>
      <c r="Z26" s="1754"/>
      <c r="AA26" s="1754"/>
      <c r="AB26" s="1754"/>
      <c r="AC26" s="1754"/>
      <c r="AD26" s="1784"/>
      <c r="AE26" s="1754"/>
      <c r="AF26" s="1754"/>
      <c r="AG26" s="1754"/>
      <c r="AH26" s="1754"/>
      <c r="AI26" s="1754"/>
      <c r="AJ26" s="1754"/>
      <c r="AK26" s="1754"/>
      <c r="AL26" s="1784"/>
      <c r="AM26" s="1754"/>
      <c r="AN26" s="1754"/>
      <c r="AO26" s="1754"/>
      <c r="AP26" s="1754"/>
      <c r="AQ26" s="1754"/>
      <c r="AR26" s="1754"/>
      <c r="AS26" s="1754"/>
      <c r="AT26" s="1784"/>
      <c r="AU26" s="1754"/>
      <c r="AV26" s="1754"/>
      <c r="AW26" s="1754"/>
      <c r="AX26" s="1754"/>
      <c r="AY26" s="1754"/>
      <c r="AZ26" s="1754"/>
      <c r="BA26" s="1784"/>
      <c r="BB26" s="1784"/>
      <c r="BC26" s="1754"/>
      <c r="BD26" s="1754"/>
      <c r="BE26" s="1754"/>
      <c r="BF26" s="1754"/>
      <c r="BG26" s="1754"/>
      <c r="BH26" s="1784"/>
      <c r="BI26" s="1754"/>
      <c r="BJ26" s="1911">
        <v>25.0</v>
      </c>
      <c r="BK26" s="1754"/>
      <c r="BL26" s="1754"/>
      <c r="BM26" s="1754"/>
      <c r="BN26" s="1754"/>
      <c r="BO26" s="1754"/>
      <c r="BP26" s="1784"/>
      <c r="BQ26" s="1754"/>
      <c r="BR26" s="1911">
        <v>25.0</v>
      </c>
      <c r="BS26" s="1754"/>
      <c r="BT26" s="1754"/>
      <c r="BU26" s="1754"/>
      <c r="BV26" s="1754"/>
      <c r="BW26" s="1784"/>
      <c r="BX26" s="1754"/>
      <c r="BY26" s="1754"/>
      <c r="BZ26" s="1754"/>
      <c r="CA26" s="1754"/>
      <c r="CB26" s="1754"/>
    </row>
    <row r="27">
      <c r="A27" s="1784"/>
      <c r="B27" s="1784"/>
      <c r="C27" s="1784"/>
      <c r="D27" s="1897"/>
      <c r="E27" s="1799" t="s">
        <v>1539</v>
      </c>
      <c r="F27" s="573"/>
      <c r="G27" s="573"/>
      <c r="H27" s="573"/>
      <c r="I27" s="1754"/>
      <c r="J27" s="1754"/>
      <c r="K27" s="1784"/>
      <c r="L27" s="1754"/>
      <c r="M27" s="1754"/>
      <c r="N27" s="1754"/>
      <c r="O27" s="1754"/>
      <c r="P27" s="1754"/>
      <c r="Q27" s="1784"/>
      <c r="R27" s="1754"/>
      <c r="S27" s="1754"/>
      <c r="T27" s="1754"/>
      <c r="U27" s="1754"/>
      <c r="V27" s="1754"/>
      <c r="W27" s="1754"/>
      <c r="X27" s="1784"/>
      <c r="Y27" s="1754"/>
      <c r="Z27" s="1754"/>
      <c r="AA27" s="1754"/>
      <c r="AB27" s="1754"/>
      <c r="AC27" s="1754"/>
      <c r="AD27" s="1784"/>
      <c r="AE27" s="1754"/>
      <c r="AF27" s="1754"/>
      <c r="AG27" s="1754"/>
      <c r="AH27" s="1754"/>
      <c r="AI27" s="1754"/>
      <c r="AJ27" s="1754"/>
      <c r="AK27" s="1754"/>
      <c r="AL27" s="1784"/>
      <c r="AM27" s="1754"/>
      <c r="AN27" s="1754"/>
      <c r="AO27" s="1754"/>
      <c r="AP27" s="1754"/>
      <c r="AQ27" s="1754"/>
      <c r="AR27" s="1754"/>
      <c r="AS27" s="1754"/>
      <c r="AT27" s="1784"/>
      <c r="AU27" s="1754"/>
      <c r="AV27" s="1754"/>
      <c r="AW27" s="1754"/>
      <c r="AX27" s="1754"/>
      <c r="AY27" s="1754"/>
      <c r="AZ27" s="1754"/>
      <c r="BA27" s="1784"/>
      <c r="BB27" s="1784"/>
      <c r="BC27" s="1754"/>
      <c r="BD27" s="1754"/>
      <c r="BE27" s="1754"/>
      <c r="BF27" s="1754"/>
      <c r="BG27" s="1754"/>
      <c r="BH27" s="1784"/>
      <c r="BI27" s="1754"/>
      <c r="BJ27" s="1911">
        <v>25.0</v>
      </c>
      <c r="BK27" s="1754"/>
      <c r="BL27" s="1754"/>
      <c r="BM27" s="1754"/>
      <c r="BN27" s="1754"/>
      <c r="BO27" s="1754"/>
      <c r="BP27" s="1784"/>
      <c r="BQ27" s="1754"/>
      <c r="BR27" s="1911">
        <v>25.0</v>
      </c>
      <c r="BS27" s="1754"/>
      <c r="BT27" s="1754"/>
      <c r="BU27" s="1754"/>
      <c r="BV27" s="1754"/>
      <c r="BW27" s="1784"/>
      <c r="BX27" s="1754"/>
      <c r="BY27" s="1754"/>
      <c r="BZ27" s="1754"/>
      <c r="CA27" s="1754"/>
      <c r="CB27" s="1754"/>
    </row>
    <row r="28">
      <c r="A28" s="1784"/>
      <c r="B28" s="1784"/>
      <c r="C28" s="1784"/>
      <c r="D28" s="1897"/>
      <c r="E28" s="573"/>
      <c r="F28" s="573"/>
      <c r="G28" s="573"/>
      <c r="H28" s="573"/>
      <c r="I28" s="1754"/>
      <c r="J28" s="1754"/>
      <c r="K28" s="1784"/>
      <c r="L28" s="1754"/>
      <c r="M28" s="1754"/>
      <c r="N28" s="1754"/>
      <c r="O28" s="1754"/>
      <c r="P28" s="1754"/>
      <c r="Q28" s="1784"/>
      <c r="R28" s="1754"/>
      <c r="S28" s="1754"/>
      <c r="T28" s="1754"/>
      <c r="U28" s="1754"/>
      <c r="V28" s="1754"/>
      <c r="W28" s="1754"/>
      <c r="X28" s="1784"/>
      <c r="Y28" s="1754"/>
      <c r="Z28" s="1754"/>
      <c r="AA28" s="1754"/>
      <c r="AB28" s="1754"/>
      <c r="AC28" s="1754"/>
      <c r="AD28" s="1784"/>
      <c r="AE28" s="1754"/>
      <c r="AF28" s="1754"/>
      <c r="AG28" s="1754"/>
      <c r="AH28" s="1754"/>
      <c r="AI28" s="1754"/>
      <c r="AJ28" s="1754"/>
      <c r="AK28" s="1754"/>
      <c r="AL28" s="1784"/>
      <c r="AM28" s="1754"/>
      <c r="AN28" s="1754"/>
      <c r="AO28" s="1754"/>
      <c r="AP28" s="1754"/>
      <c r="AQ28" s="1754"/>
      <c r="AR28" s="1754"/>
      <c r="AS28" s="1754"/>
      <c r="AT28" s="1784"/>
      <c r="AU28" s="1754"/>
      <c r="AV28" s="1754"/>
      <c r="AW28" s="1754"/>
      <c r="AX28" s="1754"/>
      <c r="AY28" s="1754"/>
      <c r="AZ28" s="1754"/>
      <c r="BA28" s="1784"/>
      <c r="BB28" s="1784"/>
      <c r="BC28" s="1754"/>
      <c r="BD28" s="1754"/>
      <c r="BE28" s="1754"/>
      <c r="BF28" s="1754"/>
      <c r="BG28" s="1754"/>
      <c r="BH28" s="1784"/>
      <c r="BI28" s="1754"/>
      <c r="BJ28" s="1911"/>
      <c r="BK28" s="1754"/>
      <c r="BL28" s="1754"/>
      <c r="BM28" s="1754"/>
      <c r="BN28" s="1754"/>
      <c r="BO28" s="1754"/>
      <c r="BP28" s="1784"/>
      <c r="BQ28" s="1754"/>
      <c r="BR28" s="1911"/>
      <c r="BS28" s="1754"/>
      <c r="BT28" s="1754"/>
      <c r="BU28" s="1754"/>
      <c r="BV28" s="1754"/>
      <c r="BW28" s="1784"/>
      <c r="BX28" s="1754"/>
      <c r="BY28" s="1754"/>
      <c r="BZ28" s="1754"/>
      <c r="CA28" s="1754"/>
      <c r="CB28" s="1754"/>
    </row>
    <row r="29">
      <c r="A29" s="1784"/>
      <c r="B29" s="1784"/>
      <c r="C29" s="1784"/>
      <c r="D29" s="1897"/>
      <c r="E29" s="573"/>
      <c r="F29" s="573"/>
      <c r="G29" s="573"/>
      <c r="H29" s="573"/>
      <c r="I29" s="1754"/>
      <c r="J29" s="1754"/>
      <c r="K29" s="1784"/>
      <c r="L29" s="1754"/>
      <c r="M29" s="1754"/>
      <c r="N29" s="1754"/>
      <c r="O29" s="1754"/>
      <c r="P29" s="1754"/>
      <c r="Q29" s="1784"/>
      <c r="R29" s="1754"/>
      <c r="S29" s="1754"/>
      <c r="T29" s="1754"/>
      <c r="U29" s="1754"/>
      <c r="V29" s="1754"/>
      <c r="W29" s="1754"/>
      <c r="X29" s="1784"/>
      <c r="Y29" s="1754"/>
      <c r="Z29" s="1754"/>
      <c r="AA29" s="1754"/>
      <c r="AB29" s="1754"/>
      <c r="AC29" s="1754"/>
      <c r="AD29" s="1784"/>
      <c r="AE29" s="1754"/>
      <c r="AF29" s="1754"/>
      <c r="AG29" s="1754"/>
      <c r="AH29" s="1754"/>
      <c r="AI29" s="1754"/>
      <c r="AJ29" s="1754"/>
      <c r="AK29" s="1754"/>
      <c r="AL29" s="1784"/>
      <c r="AM29" s="1754"/>
      <c r="AN29" s="1754"/>
      <c r="AO29" s="1754"/>
      <c r="AP29" s="1754"/>
      <c r="AQ29" s="1754"/>
      <c r="AR29" s="1754"/>
      <c r="AS29" s="1754"/>
      <c r="AT29" s="1784"/>
      <c r="AU29" s="1754"/>
      <c r="AV29" s="1754"/>
      <c r="AW29" s="1754"/>
      <c r="AX29" s="1754"/>
      <c r="AY29" s="1754"/>
      <c r="AZ29" s="1754"/>
      <c r="BA29" s="1784"/>
      <c r="BB29" s="1784"/>
      <c r="BC29" s="1754"/>
      <c r="BD29" s="1754"/>
      <c r="BE29" s="1754"/>
      <c r="BF29" s="1754"/>
      <c r="BG29" s="1754"/>
      <c r="BH29" s="1784"/>
      <c r="BI29" s="1754"/>
      <c r="BJ29" s="1754"/>
      <c r="BK29" s="1754"/>
      <c r="BL29" s="1754"/>
      <c r="BM29" s="1754"/>
      <c r="BN29" s="1754"/>
      <c r="BO29" s="1754"/>
      <c r="BP29" s="1784"/>
      <c r="BQ29" s="1754"/>
      <c r="BR29" s="1754"/>
      <c r="BS29" s="1754"/>
      <c r="BT29" s="1754"/>
      <c r="BU29" s="1754"/>
      <c r="BV29" s="1754"/>
      <c r="BW29" s="1784"/>
      <c r="BX29" s="1754"/>
      <c r="BY29" s="1754"/>
      <c r="BZ29" s="1754"/>
      <c r="CA29" s="1754"/>
      <c r="CB29" s="1754"/>
    </row>
    <row r="30">
      <c r="A30" s="1957" t="s">
        <v>1540</v>
      </c>
      <c r="B30" s="1784"/>
      <c r="C30" s="1784"/>
      <c r="D30" s="1897"/>
      <c r="E30" s="1754"/>
      <c r="F30" s="1754"/>
      <c r="G30" s="1754"/>
      <c r="H30" s="573"/>
      <c r="I30" s="1754"/>
      <c r="J30" s="1754"/>
      <c r="K30" s="1784"/>
      <c r="L30" s="1754"/>
      <c r="M30" s="1754"/>
      <c r="N30" s="1754"/>
      <c r="O30" s="1754"/>
      <c r="P30" s="1754"/>
      <c r="Q30" s="1784"/>
      <c r="R30" s="1754"/>
      <c r="S30" s="1754"/>
      <c r="T30" s="1754"/>
      <c r="U30" s="1754"/>
      <c r="V30" s="1754"/>
      <c r="W30" s="1754"/>
      <c r="X30" s="1784"/>
      <c r="Y30" s="1754"/>
      <c r="Z30" s="1754"/>
      <c r="AA30" s="1754"/>
      <c r="AB30" s="1754"/>
      <c r="AC30" s="1754"/>
      <c r="AD30" s="1784"/>
      <c r="AE30" s="1754"/>
      <c r="AF30" s="1754"/>
      <c r="AG30" s="1754"/>
      <c r="AH30" s="1754"/>
      <c r="AI30" s="1754"/>
      <c r="AJ30" s="1754"/>
      <c r="AK30" s="1754"/>
      <c r="AL30" s="1784"/>
      <c r="AM30" s="1754"/>
      <c r="AN30" s="1754"/>
      <c r="AO30" s="1754"/>
      <c r="AP30" s="1754"/>
      <c r="AQ30" s="1754"/>
      <c r="AR30" s="1754"/>
      <c r="AS30" s="1754"/>
      <c r="AT30" s="1784"/>
      <c r="AU30" s="1754"/>
      <c r="AV30" s="1754"/>
      <c r="AW30" s="1754"/>
      <c r="AX30" s="1754"/>
      <c r="AY30" s="1754"/>
      <c r="AZ30" s="1754"/>
      <c r="BA30" s="1784"/>
      <c r="BB30" s="1784"/>
      <c r="BC30" s="1754"/>
      <c r="BD30" s="1754"/>
      <c r="BE30" s="1754"/>
      <c r="BF30" s="1754"/>
      <c r="BG30" s="1754"/>
      <c r="BH30" s="1784"/>
      <c r="BI30" s="1754"/>
      <c r="BJ30" s="1754"/>
      <c r="BK30" s="1754"/>
      <c r="BL30" s="1754"/>
      <c r="BM30" s="1754"/>
      <c r="BN30" s="1754"/>
      <c r="BO30" s="1754"/>
      <c r="BP30" s="1784"/>
      <c r="BQ30" s="1754"/>
      <c r="BR30" s="1754"/>
      <c r="BS30" s="1754"/>
      <c r="BT30" s="1754"/>
      <c r="BU30" s="1754"/>
      <c r="BV30" s="1754"/>
      <c r="BW30" s="1784"/>
      <c r="BX30" s="1754"/>
      <c r="BY30" s="1754"/>
      <c r="BZ30" s="1754"/>
      <c r="CA30" s="1754"/>
      <c r="CB30" s="1754"/>
    </row>
  </sheetData>
  <mergeCells count="33">
    <mergeCell ref="A1:B2"/>
    <mergeCell ref="C1:D2"/>
    <mergeCell ref="E1:H1"/>
    <mergeCell ref="I1:M1"/>
    <mergeCell ref="P1:R1"/>
    <mergeCell ref="W1:Y1"/>
    <mergeCell ref="AC1:AE1"/>
    <mergeCell ref="A6:B6"/>
    <mergeCell ref="A7:B7"/>
    <mergeCell ref="A8:B8"/>
    <mergeCell ref="A9:B9"/>
    <mergeCell ref="A10:B10"/>
    <mergeCell ref="A11:B11"/>
    <mergeCell ref="C7:D7"/>
    <mergeCell ref="C8:D8"/>
    <mergeCell ref="C9:D9"/>
    <mergeCell ref="C10:D10"/>
    <mergeCell ref="A3:B3"/>
    <mergeCell ref="C3:D3"/>
    <mergeCell ref="A4:B4"/>
    <mergeCell ref="C4:D4"/>
    <mergeCell ref="A5:B5"/>
    <mergeCell ref="C5:D5"/>
    <mergeCell ref="C6:D6"/>
    <mergeCell ref="AJ1:AN1"/>
    <mergeCell ref="AE23:AI25"/>
    <mergeCell ref="AS1:AU1"/>
    <mergeCell ref="BA1:BC1"/>
    <mergeCell ref="BF1:BJ1"/>
    <mergeCell ref="BO1:BQ1"/>
    <mergeCell ref="BU1:BY1"/>
    <mergeCell ref="BA4:BA18"/>
    <mergeCell ref="BC9:BE9"/>
  </mergeCells>
  <conditionalFormatting sqref="J3">
    <cfRule type="colorScale" priority="1">
      <colorScale>
        <cfvo type="min"/>
        <cfvo type="max"/>
        <color rgb="FF57BB8A"/>
        <color rgb="FFFFFFFF"/>
      </colorScale>
    </cfRule>
  </conditionalFormatting>
  <hyperlinks>
    <hyperlink r:id="rId2" ref="C1"/>
    <hyperlink r:id="rId3" ref="C3"/>
    <hyperlink r:id="rId4" ref="E4"/>
    <hyperlink r:id="rId5" ref="G4"/>
    <hyperlink r:id="rId6" ref="L4"/>
    <hyperlink r:id="rId7" ref="N4"/>
    <hyperlink r:id="rId8" ref="R4"/>
    <hyperlink r:id="rId9" ref="T4"/>
    <hyperlink r:id="rId10" ref="Y4"/>
    <hyperlink r:id="rId11" ref="AA4"/>
    <hyperlink r:id="rId12" ref="AE4"/>
    <hyperlink r:id="rId13" ref="AG4"/>
    <hyperlink r:id="rId14" ref="AM4"/>
    <hyperlink r:id="rId15" ref="AO4"/>
    <hyperlink r:id="rId16" ref="AU4"/>
    <hyperlink r:id="rId17" ref="AW4"/>
    <hyperlink r:id="rId18" ref="BC4"/>
    <hyperlink r:id="rId19" ref="BE4"/>
    <hyperlink r:id="rId20" ref="BI4"/>
    <hyperlink r:id="rId21" ref="BK4"/>
    <hyperlink r:id="rId22" ref="BQ4"/>
    <hyperlink r:id="rId23" ref="BS4"/>
    <hyperlink r:id="rId24" ref="BX4"/>
    <hyperlink r:id="rId25" ref="BZ4"/>
    <hyperlink r:id="rId26" ref="E5"/>
    <hyperlink r:id="rId27" ref="L5"/>
    <hyperlink r:id="rId28" ref="R5"/>
    <hyperlink r:id="rId29" ref="Y5"/>
    <hyperlink r:id="rId30" ref="AE5"/>
    <hyperlink r:id="rId31" ref="AM5"/>
    <hyperlink r:id="rId32" ref="AU5"/>
    <hyperlink r:id="rId33" ref="BC5"/>
    <hyperlink r:id="rId34" ref="BI5"/>
    <hyperlink r:id="rId35" ref="BQ5"/>
    <hyperlink r:id="rId36" ref="BX5"/>
    <hyperlink r:id="rId37" ref="E6"/>
    <hyperlink r:id="rId38" ref="L6"/>
    <hyperlink r:id="rId39" ref="R6"/>
    <hyperlink r:id="rId40" ref="Y6"/>
    <hyperlink r:id="rId41" ref="AE6"/>
    <hyperlink r:id="rId42" ref="AM6"/>
    <hyperlink r:id="rId43" ref="AU6"/>
    <hyperlink r:id="rId44" ref="BC6"/>
    <hyperlink r:id="rId45" ref="BI6"/>
    <hyperlink r:id="rId46" ref="BQ6"/>
    <hyperlink r:id="rId47" ref="BX6"/>
    <hyperlink r:id="rId48" ref="E7"/>
    <hyperlink r:id="rId49" ref="L7"/>
    <hyperlink r:id="rId50" ref="R7"/>
    <hyperlink r:id="rId51" ref="Y7"/>
    <hyperlink r:id="rId52" ref="AU7"/>
    <hyperlink r:id="rId53" ref="BI7"/>
    <hyperlink r:id="rId54" ref="BQ7"/>
    <hyperlink r:id="rId55" ref="BX7"/>
    <hyperlink r:id="rId56" ref="E8"/>
    <hyperlink r:id="rId57" ref="L8"/>
    <hyperlink r:id="rId58" ref="R8"/>
    <hyperlink r:id="rId59" ref="Y8"/>
    <hyperlink r:id="rId60" ref="AE8"/>
    <hyperlink r:id="rId61" ref="AU8"/>
    <hyperlink r:id="rId62" ref="BC8"/>
    <hyperlink r:id="rId63" ref="BI8"/>
    <hyperlink r:id="rId64" ref="BQ8"/>
    <hyperlink r:id="rId65" ref="BX8"/>
    <hyperlink r:id="rId66" ref="E9"/>
    <hyperlink r:id="rId67" ref="L9"/>
    <hyperlink r:id="rId68" ref="R9"/>
    <hyperlink r:id="rId69" ref="Y9"/>
    <hyperlink r:id="rId70" ref="AE9"/>
    <hyperlink r:id="rId71" ref="BC9"/>
    <hyperlink r:id="rId72" ref="BI9"/>
  </hyperlinks>
  <drawing r:id="rId73"/>
  <legacyDrawing r:id="rId74"/>
  <tableParts count="1">
    <tablePart r:id="rId76"/>
  </tableParts>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3000"/>
    <outlinePr summaryBelow="0" summaryRight="0"/>
  </sheetPr>
  <sheetViews>
    <sheetView showGridLines="0" workbookViewId="0"/>
  </sheetViews>
  <sheetFormatPr customHeight="1" defaultColWidth="14.43" defaultRowHeight="15.75"/>
  <cols>
    <col customWidth="1" min="1" max="1" width="3.0"/>
    <col customWidth="1" min="2" max="2" width="35.86"/>
    <col customWidth="1" min="3" max="3" width="3.0"/>
    <col customWidth="1" min="4" max="4" width="35.86"/>
    <col customWidth="1" min="5" max="5" width="3.0"/>
    <col customWidth="1" min="6" max="6" width="35.86"/>
    <col customWidth="1" min="7" max="7" width="3.0"/>
    <col customWidth="1" min="8" max="8" width="35.86"/>
    <col customWidth="1" min="9" max="9" width="3.0"/>
    <col customWidth="1" min="10" max="10" width="35.86"/>
    <col customWidth="1" min="11" max="11" width="3.0"/>
    <col customWidth="1" min="12" max="12" width="35.86"/>
    <col customWidth="1" min="13" max="13" width="3.0"/>
  </cols>
  <sheetData>
    <row r="1">
      <c r="A1" s="1415"/>
      <c r="B1" s="1958" t="s">
        <v>1541</v>
      </c>
      <c r="C1" s="1415"/>
      <c r="D1" s="1415"/>
      <c r="E1" s="1415"/>
      <c r="F1" s="1415"/>
      <c r="G1" s="1415"/>
      <c r="H1" s="1415"/>
      <c r="I1" s="1415"/>
      <c r="J1" s="1415"/>
      <c r="K1" s="1415"/>
      <c r="L1" s="1415"/>
      <c r="M1" s="1415"/>
    </row>
    <row r="2">
      <c r="A2" s="1415"/>
      <c r="B2" s="1959" t="s">
        <v>1542</v>
      </c>
      <c r="C2" s="1179"/>
      <c r="D2" s="1179"/>
      <c r="E2" s="1179"/>
      <c r="F2" s="1179"/>
      <c r="G2" s="1179"/>
      <c r="H2" s="1179"/>
      <c r="I2" s="1179"/>
      <c r="J2" s="1179"/>
      <c r="K2" s="1179"/>
      <c r="L2" s="1960"/>
      <c r="M2" s="1415"/>
    </row>
    <row r="3">
      <c r="A3" s="1415"/>
      <c r="B3" s="1961"/>
      <c r="C3" s="330"/>
      <c r="D3" s="330"/>
      <c r="E3" s="330"/>
      <c r="F3" s="330"/>
      <c r="G3" s="330"/>
      <c r="H3" s="330"/>
      <c r="I3" s="330"/>
      <c r="J3" s="330"/>
      <c r="K3" s="330"/>
      <c r="L3" s="1962"/>
      <c r="M3" s="1415"/>
    </row>
    <row r="4">
      <c r="A4" s="1415"/>
      <c r="B4" s="1963" t="s">
        <v>1543</v>
      </c>
      <c r="C4" s="7"/>
      <c r="D4" s="7"/>
      <c r="E4" s="7"/>
      <c r="F4" s="7"/>
      <c r="G4" s="7"/>
      <c r="H4" s="7"/>
      <c r="I4" s="7"/>
      <c r="J4" s="7"/>
      <c r="K4" s="7"/>
      <c r="L4" s="8"/>
      <c r="M4" s="1415"/>
    </row>
    <row r="5">
      <c r="A5" s="1415"/>
      <c r="B5" s="1415"/>
      <c r="C5" s="1415"/>
      <c r="D5" s="1415"/>
      <c r="E5" s="1415"/>
      <c r="F5" s="1415"/>
      <c r="G5" s="1415"/>
      <c r="H5" s="1415"/>
      <c r="I5" s="1415"/>
      <c r="J5" s="1415"/>
      <c r="K5" s="1415"/>
      <c r="L5" s="1415"/>
      <c r="M5" s="1415"/>
    </row>
    <row r="6">
      <c r="A6" s="1415"/>
      <c r="B6" s="1964" t="s">
        <v>1544</v>
      </c>
      <c r="C6" s="1415"/>
      <c r="D6" s="1964" t="s">
        <v>1545</v>
      </c>
      <c r="E6" s="1415"/>
      <c r="F6" s="1964" t="s">
        <v>1546</v>
      </c>
      <c r="G6" s="1415"/>
      <c r="H6" s="1964" t="s">
        <v>1547</v>
      </c>
      <c r="I6" s="1415"/>
      <c r="J6" s="1964" t="s">
        <v>1548</v>
      </c>
      <c r="K6" s="1415"/>
      <c r="L6" s="1964" t="s">
        <v>1549</v>
      </c>
      <c r="M6" s="1415"/>
    </row>
    <row r="7">
      <c r="A7" s="1415"/>
      <c r="B7" s="1965" t="s">
        <v>1550</v>
      </c>
      <c r="C7" s="1415"/>
      <c r="D7" s="1965" t="s">
        <v>1551</v>
      </c>
      <c r="E7" s="1415"/>
      <c r="F7" s="1965" t="s">
        <v>1552</v>
      </c>
      <c r="G7" s="1415"/>
      <c r="H7" s="1965" t="s">
        <v>1553</v>
      </c>
      <c r="I7" s="1415"/>
      <c r="J7" s="1965" t="s">
        <v>1554</v>
      </c>
      <c r="K7" s="1415"/>
      <c r="L7" s="1965" t="s">
        <v>1555</v>
      </c>
      <c r="M7" s="1415"/>
    </row>
    <row r="8">
      <c r="A8" s="1415"/>
      <c r="B8" s="1966" t="s">
        <v>1556</v>
      </c>
      <c r="C8" s="1415"/>
      <c r="D8" s="1967" t="s">
        <v>1557</v>
      </c>
      <c r="E8" s="1415"/>
      <c r="F8" s="1966" t="s">
        <v>1558</v>
      </c>
      <c r="G8" s="1415"/>
      <c r="H8" s="1966" t="s">
        <v>1558</v>
      </c>
      <c r="I8" s="1415"/>
      <c r="J8" s="1966" t="s">
        <v>1559</v>
      </c>
      <c r="K8" s="1415"/>
      <c r="L8" s="1966" t="s">
        <v>1560</v>
      </c>
      <c r="M8" s="1415"/>
    </row>
    <row r="9">
      <c r="A9" s="1415"/>
      <c r="B9" s="1968" t="s">
        <v>1561</v>
      </c>
      <c r="C9" s="1415"/>
      <c r="D9" s="1968" t="s">
        <v>1562</v>
      </c>
      <c r="E9" s="1415"/>
      <c r="F9" s="1968" t="s">
        <v>1563</v>
      </c>
      <c r="G9" s="1415"/>
      <c r="H9" s="1968" t="s">
        <v>1158</v>
      </c>
      <c r="I9" s="1415"/>
      <c r="J9" s="1968" t="s">
        <v>1158</v>
      </c>
      <c r="K9" s="1415"/>
      <c r="L9" s="1969" t="s">
        <v>1564</v>
      </c>
      <c r="M9" s="1415"/>
    </row>
    <row r="10">
      <c r="A10" s="1415"/>
      <c r="B10" s="1970" t="s">
        <v>1565</v>
      </c>
      <c r="C10" s="1415"/>
      <c r="D10" s="1970" t="s">
        <v>1566</v>
      </c>
      <c r="E10" s="1415"/>
      <c r="F10" s="1971" t="s">
        <v>1567</v>
      </c>
      <c r="G10" s="1972"/>
      <c r="H10" s="1973" t="s">
        <v>1568</v>
      </c>
      <c r="I10" s="1454"/>
      <c r="J10" s="1970" t="s">
        <v>1563</v>
      </c>
      <c r="K10" s="1415"/>
      <c r="L10" s="1971" t="s">
        <v>1567</v>
      </c>
      <c r="M10" s="1415"/>
    </row>
    <row r="11">
      <c r="A11" s="1415"/>
      <c r="B11" s="1971" t="s">
        <v>1569</v>
      </c>
      <c r="C11" s="1415"/>
      <c r="D11" s="1974" t="s">
        <v>1570</v>
      </c>
      <c r="E11" s="1415"/>
      <c r="F11" s="1975" t="s">
        <v>1571</v>
      </c>
      <c r="G11" s="1415"/>
      <c r="H11" s="1976" t="s">
        <v>1451</v>
      </c>
      <c r="I11" s="1972"/>
      <c r="J11" s="1971" t="s">
        <v>1567</v>
      </c>
      <c r="K11" s="1454"/>
      <c r="L11" s="1977" t="s">
        <v>1133</v>
      </c>
      <c r="M11" s="1415"/>
    </row>
    <row r="12">
      <c r="A12" s="1415"/>
      <c r="B12" s="1978" t="s">
        <v>1572</v>
      </c>
      <c r="C12" s="1415"/>
      <c r="D12" s="1979" t="s">
        <v>1572</v>
      </c>
      <c r="E12" s="1415"/>
      <c r="F12" s="1970" t="s">
        <v>1572</v>
      </c>
      <c r="G12" s="1415"/>
      <c r="H12" s="1971" t="s">
        <v>1573</v>
      </c>
      <c r="I12" s="1415"/>
      <c r="J12" s="1970" t="s">
        <v>1451</v>
      </c>
      <c r="K12" s="1415"/>
      <c r="L12" s="1971" t="s">
        <v>1574</v>
      </c>
      <c r="M12" s="1415"/>
    </row>
    <row r="13">
      <c r="A13" s="1415"/>
      <c r="B13" s="1980" t="s">
        <v>1575</v>
      </c>
      <c r="C13" s="1415"/>
      <c r="D13" s="1978" t="s">
        <v>1576</v>
      </c>
      <c r="E13" s="1972"/>
      <c r="F13" s="1971" t="s">
        <v>1576</v>
      </c>
      <c r="G13" s="1454"/>
      <c r="H13" s="1970" t="s">
        <v>1577</v>
      </c>
      <c r="I13" s="1415"/>
      <c r="J13" s="1971" t="s">
        <v>1578</v>
      </c>
      <c r="K13" s="1415"/>
      <c r="L13" s="1970" t="s">
        <v>1577</v>
      </c>
      <c r="M13" s="1415"/>
    </row>
    <row r="14">
      <c r="A14" s="1415"/>
      <c r="B14" s="809"/>
      <c r="C14" s="1415"/>
      <c r="D14" s="1980" t="s">
        <v>1579</v>
      </c>
      <c r="E14" s="1972"/>
      <c r="F14" s="1970" t="s">
        <v>1580</v>
      </c>
      <c r="G14" s="1454"/>
      <c r="H14" s="1970" t="s">
        <v>1572</v>
      </c>
      <c r="I14" s="1415"/>
      <c r="J14" s="1970" t="s">
        <v>1577</v>
      </c>
      <c r="K14" s="1415"/>
      <c r="L14" s="1970" t="s">
        <v>1572</v>
      </c>
      <c r="M14" s="1415"/>
    </row>
    <row r="15">
      <c r="A15" s="1972"/>
      <c r="B15" s="1964" t="s">
        <v>42</v>
      </c>
      <c r="C15" s="1454"/>
      <c r="D15" s="1415"/>
      <c r="E15" s="1415"/>
      <c r="F15" s="1981"/>
      <c r="G15" s="1415"/>
      <c r="H15" s="1971" t="s">
        <v>1576</v>
      </c>
      <c r="I15" s="1415"/>
      <c r="J15" s="1970" t="s">
        <v>1572</v>
      </c>
      <c r="K15" s="1972"/>
      <c r="L15" s="1971" t="s">
        <v>1576</v>
      </c>
      <c r="M15" s="1454"/>
    </row>
    <row r="16">
      <c r="A16" s="1972"/>
      <c r="B16" s="1965" t="s">
        <v>1581</v>
      </c>
      <c r="C16" s="1454"/>
      <c r="D16" s="1964" t="s">
        <v>1582</v>
      </c>
      <c r="E16" s="1415"/>
      <c r="F16" s="1414"/>
      <c r="G16" s="1415"/>
      <c r="H16" s="1982" t="s">
        <v>1583</v>
      </c>
      <c r="I16" s="1415"/>
      <c r="J16" s="1971" t="s">
        <v>1576</v>
      </c>
      <c r="K16" s="1972"/>
      <c r="L16" s="1970" t="s">
        <v>1584</v>
      </c>
      <c r="M16" s="1454"/>
    </row>
    <row r="17">
      <c r="A17" s="1972"/>
      <c r="B17" s="1966" t="s">
        <v>1585</v>
      </c>
      <c r="C17" s="1454"/>
      <c r="D17" s="1965" t="s">
        <v>1586</v>
      </c>
      <c r="E17" s="1415"/>
      <c r="F17" s="1964" t="s">
        <v>1587</v>
      </c>
      <c r="G17" s="1415"/>
      <c r="H17" s="1415"/>
      <c r="I17" s="1415"/>
      <c r="J17" s="1982" t="s">
        <v>1588</v>
      </c>
      <c r="K17" s="1972"/>
      <c r="L17" s="1983"/>
      <c r="M17" s="1454"/>
    </row>
    <row r="18">
      <c r="A18" s="1972"/>
      <c r="B18" s="1970" t="s">
        <v>1589</v>
      </c>
      <c r="C18" s="1454"/>
      <c r="D18" s="1966" t="s">
        <v>1590</v>
      </c>
      <c r="E18" s="1415"/>
      <c r="F18" s="1965" t="s">
        <v>1591</v>
      </c>
      <c r="G18" s="1415"/>
      <c r="H18" s="1964" t="s">
        <v>1592</v>
      </c>
      <c r="I18" s="1415"/>
      <c r="J18" s="1415"/>
      <c r="K18" s="1415"/>
      <c r="L18" s="1981"/>
      <c r="M18" s="1415"/>
    </row>
    <row r="19">
      <c r="A19" s="1972"/>
      <c r="B19" s="1969" t="s">
        <v>1593</v>
      </c>
      <c r="C19" s="1454"/>
      <c r="D19" s="1969" t="s">
        <v>1564</v>
      </c>
      <c r="E19" s="1415"/>
      <c r="F19" s="1966" t="s">
        <v>1590</v>
      </c>
      <c r="G19" s="1415"/>
      <c r="H19" s="1965" t="s">
        <v>1594</v>
      </c>
      <c r="I19" s="1415"/>
      <c r="J19" s="1964" t="s">
        <v>1595</v>
      </c>
      <c r="K19" s="1415"/>
      <c r="L19" s="1414"/>
      <c r="M19" s="1415"/>
    </row>
    <row r="20">
      <c r="A20" s="1972"/>
      <c r="B20" s="1971" t="s">
        <v>1567</v>
      </c>
      <c r="C20" s="1454"/>
      <c r="D20" s="1970" t="s">
        <v>1563</v>
      </c>
      <c r="E20" s="1415"/>
      <c r="F20" s="1968" t="s">
        <v>1158</v>
      </c>
      <c r="G20" s="1415"/>
      <c r="H20" s="1966" t="s">
        <v>1596</v>
      </c>
      <c r="I20" s="1415"/>
      <c r="J20" s="1965" t="s">
        <v>1597</v>
      </c>
      <c r="K20" s="1415"/>
      <c r="L20" s="1964" t="s">
        <v>1598</v>
      </c>
      <c r="M20" s="1415"/>
    </row>
    <row r="21">
      <c r="A21" s="1972"/>
      <c r="B21" s="1969" t="s">
        <v>1133</v>
      </c>
      <c r="C21" s="1454"/>
      <c r="D21" s="1971" t="s">
        <v>1567</v>
      </c>
      <c r="E21" s="1415"/>
      <c r="F21" s="1969" t="s">
        <v>1599</v>
      </c>
      <c r="G21" s="1415"/>
      <c r="H21" s="1969" t="s">
        <v>1564</v>
      </c>
      <c r="I21" s="1415"/>
      <c r="J21" s="1966" t="s">
        <v>1600</v>
      </c>
      <c r="K21" s="1415"/>
      <c r="L21" s="1965" t="s">
        <v>1601</v>
      </c>
      <c r="M21" s="1415"/>
    </row>
    <row r="22">
      <c r="A22" s="1972"/>
      <c r="B22" s="1969" t="s">
        <v>1451</v>
      </c>
      <c r="C22" s="1454"/>
      <c r="D22" s="1977" t="s">
        <v>1133</v>
      </c>
      <c r="E22" s="1415"/>
      <c r="F22" s="1971" t="s">
        <v>1567</v>
      </c>
      <c r="G22" s="1972"/>
      <c r="H22" s="1970" t="s">
        <v>1563</v>
      </c>
      <c r="I22" s="1454"/>
      <c r="J22" s="1969" t="s">
        <v>1564</v>
      </c>
      <c r="K22" s="1415"/>
      <c r="L22" s="1966" t="s">
        <v>1602</v>
      </c>
      <c r="M22" s="1415"/>
    </row>
    <row r="23">
      <c r="A23" s="1972"/>
      <c r="B23" s="1970" t="s">
        <v>1603</v>
      </c>
      <c r="C23" s="1454"/>
      <c r="D23" s="1970" t="s">
        <v>1451</v>
      </c>
      <c r="E23" s="1415"/>
      <c r="F23" s="1977" t="s">
        <v>1451</v>
      </c>
      <c r="G23" s="1415"/>
      <c r="H23" s="1971" t="s">
        <v>1567</v>
      </c>
      <c r="I23" s="1415"/>
      <c r="J23" s="1970" t="s">
        <v>1563</v>
      </c>
      <c r="K23" s="1415"/>
      <c r="L23" s="1969" t="s">
        <v>1564</v>
      </c>
      <c r="M23" s="1415"/>
    </row>
    <row r="24">
      <c r="A24" s="1972"/>
      <c r="B24" s="1976" t="s">
        <v>1577</v>
      </c>
      <c r="C24" s="1454"/>
      <c r="D24" s="1971" t="s">
        <v>1604</v>
      </c>
      <c r="E24" s="1415"/>
      <c r="F24" s="1984" t="s">
        <v>1605</v>
      </c>
      <c r="G24" s="1415"/>
      <c r="H24" s="1970" t="s">
        <v>1606</v>
      </c>
      <c r="I24" s="1415"/>
      <c r="J24" s="1974" t="s">
        <v>1607</v>
      </c>
      <c r="K24" s="1415"/>
      <c r="L24" s="1970" t="s">
        <v>1563</v>
      </c>
      <c r="M24" s="1415"/>
    </row>
    <row r="25">
      <c r="A25" s="1972"/>
      <c r="B25" s="1971" t="s">
        <v>1572</v>
      </c>
      <c r="C25" s="1454"/>
      <c r="D25" s="1970" t="s">
        <v>1577</v>
      </c>
      <c r="E25" s="1415"/>
      <c r="F25" s="1970" t="s">
        <v>1577</v>
      </c>
      <c r="G25" s="1415"/>
      <c r="H25" s="1971" t="s">
        <v>1608</v>
      </c>
      <c r="I25" s="1415"/>
      <c r="J25" s="1970" t="s">
        <v>1577</v>
      </c>
      <c r="K25" s="1415"/>
      <c r="L25" s="1971" t="s">
        <v>1567</v>
      </c>
      <c r="M25" s="1415"/>
    </row>
    <row r="26">
      <c r="A26" s="1972"/>
      <c r="B26" s="1970" t="s">
        <v>1609</v>
      </c>
      <c r="C26" s="1454"/>
      <c r="D26" s="1970" t="s">
        <v>1572</v>
      </c>
      <c r="E26" s="1972"/>
      <c r="F26" s="1970" t="s">
        <v>1572</v>
      </c>
      <c r="G26" s="1454"/>
      <c r="H26" s="1970" t="s">
        <v>1572</v>
      </c>
      <c r="I26" s="1415"/>
      <c r="J26" s="1970" t="s">
        <v>1572</v>
      </c>
      <c r="K26" s="1415"/>
      <c r="L26" s="1977" t="s">
        <v>1610</v>
      </c>
      <c r="M26" s="1415"/>
    </row>
    <row r="27">
      <c r="A27" s="1972"/>
      <c r="B27" s="1981"/>
      <c r="C27" s="1454"/>
      <c r="D27" s="1971" t="s">
        <v>1576</v>
      </c>
      <c r="E27" s="1972"/>
      <c r="F27" s="1971" t="s">
        <v>1576</v>
      </c>
      <c r="G27" s="1454"/>
      <c r="H27" s="1971" t="s">
        <v>1576</v>
      </c>
      <c r="I27" s="1972"/>
      <c r="J27" s="1971" t="s">
        <v>1576</v>
      </c>
      <c r="K27" s="1985"/>
      <c r="L27" s="1976" t="s">
        <v>1577</v>
      </c>
      <c r="M27" s="1454"/>
    </row>
    <row r="28">
      <c r="A28" s="1415"/>
      <c r="B28" s="1414"/>
      <c r="C28" s="1415"/>
      <c r="D28" s="1986" t="s">
        <v>1611</v>
      </c>
      <c r="E28" s="1972"/>
      <c r="F28" s="1987" t="s">
        <v>1612</v>
      </c>
      <c r="G28" s="1454"/>
      <c r="H28" s="1982" t="s">
        <v>1613</v>
      </c>
      <c r="I28" s="1972"/>
      <c r="J28" s="1976" t="s">
        <v>1614</v>
      </c>
      <c r="K28" s="1985"/>
      <c r="L28" s="1970" t="s">
        <v>1572</v>
      </c>
      <c r="M28" s="1454"/>
    </row>
    <row r="29">
      <c r="A29" s="1415"/>
      <c r="B29" s="1964" t="s">
        <v>1615</v>
      </c>
      <c r="C29" s="1988"/>
      <c r="D29" s="1981"/>
      <c r="E29" s="1170"/>
      <c r="F29" s="1981"/>
      <c r="G29" s="1415"/>
      <c r="H29" s="1415"/>
      <c r="I29" s="1972"/>
      <c r="J29" s="1983"/>
      <c r="K29" s="1985"/>
      <c r="L29" s="1971" t="s">
        <v>1576</v>
      </c>
      <c r="M29" s="1454"/>
    </row>
    <row r="30">
      <c r="A30" s="1415"/>
      <c r="B30" s="1965" t="s">
        <v>1616</v>
      </c>
      <c r="C30" s="1989"/>
      <c r="D30" s="1396"/>
      <c r="E30" s="1396"/>
      <c r="F30" s="1397"/>
      <c r="G30" s="1415"/>
      <c r="H30" s="1964" t="s">
        <v>1617</v>
      </c>
      <c r="I30" s="1415"/>
      <c r="J30" s="1981"/>
      <c r="K30" s="1972"/>
      <c r="L30" s="1970" t="s">
        <v>1618</v>
      </c>
      <c r="M30" s="1454"/>
    </row>
    <row r="31">
      <c r="A31" s="1972"/>
      <c r="B31" s="1966" t="s">
        <v>1619</v>
      </c>
      <c r="C31" s="1454"/>
      <c r="D31" s="1964" t="s">
        <v>1620</v>
      </c>
      <c r="E31" s="1415"/>
      <c r="F31" s="1964" t="s">
        <v>1621</v>
      </c>
      <c r="G31" s="1415"/>
      <c r="H31" s="1965" t="s">
        <v>1622</v>
      </c>
      <c r="I31" s="1415"/>
      <c r="J31" s="1414"/>
      <c r="K31" s="1972"/>
      <c r="L31" s="1983"/>
      <c r="M31" s="1454"/>
    </row>
    <row r="32">
      <c r="A32" s="1972"/>
      <c r="B32" s="1968" t="s">
        <v>1158</v>
      </c>
      <c r="C32" s="1985"/>
      <c r="D32" s="1965" t="s">
        <v>1623</v>
      </c>
      <c r="E32" s="1454"/>
      <c r="F32" s="1965" t="s">
        <v>1624</v>
      </c>
      <c r="G32" s="1972"/>
      <c r="H32" s="1966" t="s">
        <v>1625</v>
      </c>
      <c r="I32" s="1454"/>
      <c r="J32" s="1964" t="s">
        <v>1626</v>
      </c>
      <c r="K32" s="1415"/>
      <c r="L32" s="1981"/>
      <c r="M32" s="1415"/>
    </row>
    <row r="33">
      <c r="A33" s="1972"/>
      <c r="B33" s="1971" t="s">
        <v>1567</v>
      </c>
      <c r="C33" s="1985"/>
      <c r="D33" s="1966" t="s">
        <v>1627</v>
      </c>
      <c r="E33" s="1454"/>
      <c r="F33" s="1966" t="s">
        <v>1628</v>
      </c>
      <c r="G33" s="1972"/>
      <c r="H33" s="1968" t="s">
        <v>1563</v>
      </c>
      <c r="I33" s="1454"/>
      <c r="J33" s="1965" t="s">
        <v>1629</v>
      </c>
      <c r="K33" s="1415"/>
      <c r="L33" s="1414"/>
      <c r="M33" s="1415"/>
    </row>
    <row r="34">
      <c r="A34" s="1972"/>
      <c r="B34" s="1976" t="s">
        <v>1451</v>
      </c>
      <c r="C34" s="1985"/>
      <c r="D34" s="1969" t="s">
        <v>1564</v>
      </c>
      <c r="E34" s="1985"/>
      <c r="F34" s="1969" t="s">
        <v>1567</v>
      </c>
      <c r="G34" s="1454"/>
      <c r="H34" s="1971" t="s">
        <v>1567</v>
      </c>
      <c r="I34" s="1415"/>
      <c r="J34" s="1966" t="s">
        <v>1630</v>
      </c>
      <c r="K34" s="1415"/>
      <c r="L34" s="1964" t="s">
        <v>1631</v>
      </c>
      <c r="M34" s="1415"/>
    </row>
    <row r="35">
      <c r="A35" s="1972"/>
      <c r="B35" s="1970" t="s">
        <v>1632</v>
      </c>
      <c r="C35" s="1985"/>
      <c r="D35" s="1970" t="s">
        <v>1563</v>
      </c>
      <c r="E35" s="1454"/>
      <c r="F35" s="1977" t="s">
        <v>1133</v>
      </c>
      <c r="G35" s="1415"/>
      <c r="H35" s="1970" t="s">
        <v>1451</v>
      </c>
      <c r="I35" s="1415"/>
      <c r="J35" s="1969" t="s">
        <v>1564</v>
      </c>
      <c r="K35" s="1415"/>
      <c r="L35" s="1965" t="s">
        <v>1633</v>
      </c>
      <c r="M35" s="1415"/>
    </row>
    <row r="36">
      <c r="A36" s="1415"/>
      <c r="B36" s="1990"/>
      <c r="C36" s="1972"/>
      <c r="D36" s="1976" t="s">
        <v>1634</v>
      </c>
      <c r="E36" s="1454"/>
      <c r="F36" s="1970" t="s">
        <v>1451</v>
      </c>
      <c r="G36" s="1415"/>
      <c r="H36" s="1971" t="s">
        <v>1635</v>
      </c>
      <c r="I36" s="1415"/>
      <c r="J36" s="1970" t="s">
        <v>1563</v>
      </c>
      <c r="K36" s="1415"/>
      <c r="L36" s="1966" t="s">
        <v>1636</v>
      </c>
      <c r="M36" s="1415"/>
    </row>
    <row r="37">
      <c r="A37" s="1415"/>
      <c r="B37" s="1970" t="s">
        <v>1577</v>
      </c>
      <c r="C37" s="1415"/>
      <c r="D37" s="1990"/>
      <c r="E37" s="1415"/>
      <c r="F37" s="1971" t="s">
        <v>1637</v>
      </c>
      <c r="G37" s="1415"/>
      <c r="H37" s="1970" t="s">
        <v>1572</v>
      </c>
      <c r="I37" s="1415"/>
      <c r="J37" s="1976" t="s">
        <v>1638</v>
      </c>
      <c r="K37" s="1415"/>
      <c r="L37" s="1968" t="s">
        <v>1568</v>
      </c>
      <c r="M37" s="1415"/>
    </row>
    <row r="38">
      <c r="A38" s="1415"/>
      <c r="B38" s="1970" t="s">
        <v>1572</v>
      </c>
      <c r="C38" s="1415"/>
      <c r="D38" s="1970" t="s">
        <v>1572</v>
      </c>
      <c r="E38" s="1415"/>
      <c r="F38" s="1970" t="s">
        <v>1577</v>
      </c>
      <c r="G38" s="1415"/>
      <c r="H38" s="1971" t="s">
        <v>1576</v>
      </c>
      <c r="I38" s="1972"/>
      <c r="J38" s="1976" t="s">
        <v>1577</v>
      </c>
      <c r="K38" s="1985"/>
      <c r="L38" s="1971" t="s">
        <v>1563</v>
      </c>
      <c r="M38" s="1454"/>
    </row>
    <row r="39">
      <c r="A39" s="1415"/>
      <c r="B39" s="1971" t="s">
        <v>1576</v>
      </c>
      <c r="C39" s="1415"/>
      <c r="D39" s="1991" t="s">
        <v>1639</v>
      </c>
      <c r="E39" s="1415"/>
      <c r="F39" s="1970" t="s">
        <v>1572</v>
      </c>
      <c r="G39" s="1415"/>
      <c r="H39" s="1991" t="s">
        <v>1640</v>
      </c>
      <c r="I39" s="1972"/>
      <c r="J39" s="1970" t="s">
        <v>1572</v>
      </c>
      <c r="K39" s="1985"/>
      <c r="L39" s="1977" t="s">
        <v>1133</v>
      </c>
      <c r="M39" s="1454"/>
    </row>
    <row r="40">
      <c r="A40" s="1415"/>
      <c r="B40" s="1982" t="s">
        <v>1641</v>
      </c>
      <c r="C40" s="1415"/>
      <c r="D40" s="1415"/>
      <c r="E40" s="1415"/>
      <c r="F40" s="1971" t="s">
        <v>1576</v>
      </c>
      <c r="G40" s="1415"/>
      <c r="H40" s="1415"/>
      <c r="I40" s="1972"/>
      <c r="J40" s="1971" t="s">
        <v>1576</v>
      </c>
      <c r="K40" s="1985"/>
      <c r="L40" s="1970" t="s">
        <v>1642</v>
      </c>
      <c r="M40" s="1454"/>
    </row>
    <row r="41">
      <c r="A41" s="1415"/>
      <c r="B41" s="1415"/>
      <c r="C41" s="1415"/>
      <c r="D41" s="1964" t="s">
        <v>1643</v>
      </c>
      <c r="E41" s="1415"/>
      <c r="F41" s="1991" t="s">
        <v>1644</v>
      </c>
      <c r="G41" s="1415"/>
      <c r="H41" s="1964" t="s">
        <v>27</v>
      </c>
      <c r="I41" s="1415"/>
      <c r="J41" s="1976" t="s">
        <v>1645</v>
      </c>
      <c r="K41" s="1985"/>
      <c r="L41" s="1976" t="s">
        <v>1577</v>
      </c>
      <c r="M41" s="1454"/>
    </row>
    <row r="42">
      <c r="A42" s="1415"/>
      <c r="B42" s="1964" t="s">
        <v>1646</v>
      </c>
      <c r="C42" s="1415"/>
      <c r="D42" s="1965" t="s">
        <v>1647</v>
      </c>
      <c r="E42" s="1415"/>
      <c r="F42" s="1415"/>
      <c r="G42" s="1415"/>
      <c r="H42" s="1965" t="s">
        <v>1648</v>
      </c>
      <c r="I42" s="1415"/>
      <c r="J42" s="1981"/>
      <c r="K42" s="1985"/>
      <c r="L42" s="1970" t="s">
        <v>1572</v>
      </c>
      <c r="M42" s="1454"/>
    </row>
    <row r="43">
      <c r="A43" s="1415"/>
      <c r="B43" s="1965" t="s">
        <v>1649</v>
      </c>
      <c r="C43" s="1972"/>
      <c r="D43" s="1966" t="s">
        <v>1650</v>
      </c>
      <c r="E43" s="1454"/>
      <c r="F43" s="1964" t="s">
        <v>1651</v>
      </c>
      <c r="G43" s="1415"/>
      <c r="H43" s="1966" t="s">
        <v>1652</v>
      </c>
      <c r="I43" s="1415"/>
      <c r="J43" s="1414"/>
      <c r="K43" s="1972"/>
      <c r="L43" s="1991" t="s">
        <v>1653</v>
      </c>
      <c r="M43" s="1454"/>
    </row>
    <row r="44">
      <c r="A44" s="1415"/>
      <c r="B44" s="1966" t="s">
        <v>1650</v>
      </c>
      <c r="C44" s="1415"/>
      <c r="D44" s="1968" t="s">
        <v>1568</v>
      </c>
      <c r="E44" s="1415"/>
      <c r="F44" s="1965" t="s">
        <v>1654</v>
      </c>
      <c r="G44" s="1972"/>
      <c r="H44" s="1968" t="s">
        <v>1158</v>
      </c>
      <c r="I44" s="1454"/>
      <c r="J44" s="1964" t="s">
        <v>1655</v>
      </c>
      <c r="K44" s="1415"/>
      <c r="L44" s="1415"/>
      <c r="M44" s="1415"/>
    </row>
    <row r="45">
      <c r="A45" s="1415"/>
      <c r="B45" s="1969" t="s">
        <v>1564</v>
      </c>
      <c r="C45" s="1415"/>
      <c r="D45" s="1970" t="s">
        <v>1563</v>
      </c>
      <c r="E45" s="1415"/>
      <c r="F45" s="1966" t="s">
        <v>1656</v>
      </c>
      <c r="G45" s="1972"/>
      <c r="H45" s="1970" t="s">
        <v>1564</v>
      </c>
      <c r="I45" s="1454"/>
      <c r="J45" s="1965" t="s">
        <v>1657</v>
      </c>
      <c r="K45" s="1415"/>
      <c r="L45" s="1964" t="s">
        <v>1658</v>
      </c>
      <c r="M45" s="1415"/>
    </row>
    <row r="46">
      <c r="A46" s="1415"/>
      <c r="B46" s="1976" t="s">
        <v>1451</v>
      </c>
      <c r="C46" s="1415"/>
      <c r="D46" s="1971" t="s">
        <v>1567</v>
      </c>
      <c r="E46" s="1415"/>
      <c r="F46" s="1968" t="s">
        <v>1158</v>
      </c>
      <c r="G46" s="1972"/>
      <c r="H46" s="1970" t="s">
        <v>1563</v>
      </c>
      <c r="I46" s="1454"/>
      <c r="J46" s="1966" t="s">
        <v>1652</v>
      </c>
      <c r="K46" s="1415"/>
      <c r="L46" s="1965" t="s">
        <v>1659</v>
      </c>
      <c r="M46" s="1415"/>
    </row>
    <row r="47">
      <c r="A47" s="1972"/>
      <c r="B47" s="1969" t="s">
        <v>1637</v>
      </c>
      <c r="C47" s="1454"/>
      <c r="D47" s="1977" t="s">
        <v>1133</v>
      </c>
      <c r="E47" s="1415"/>
      <c r="F47" s="1969" t="s">
        <v>1599</v>
      </c>
      <c r="G47" s="1972"/>
      <c r="H47" s="1970" t="s">
        <v>1660</v>
      </c>
      <c r="I47" s="1454"/>
      <c r="J47" s="1968" t="s">
        <v>1564</v>
      </c>
      <c r="K47" s="1415"/>
      <c r="L47" s="1966" t="s">
        <v>1661</v>
      </c>
      <c r="M47" s="1415"/>
    </row>
    <row r="48">
      <c r="A48" s="1972"/>
      <c r="B48" s="1976" t="s">
        <v>1577</v>
      </c>
      <c r="C48" s="1454"/>
      <c r="D48" s="1970" t="s">
        <v>1451</v>
      </c>
      <c r="E48" s="1415"/>
      <c r="F48" s="1970" t="s">
        <v>1563</v>
      </c>
      <c r="G48" s="1972"/>
      <c r="H48" s="1971" t="s">
        <v>1567</v>
      </c>
      <c r="I48" s="1985"/>
      <c r="J48" s="1970" t="s">
        <v>1563</v>
      </c>
      <c r="K48" s="1454"/>
      <c r="L48" s="1971" t="s">
        <v>1567</v>
      </c>
      <c r="M48" s="1415"/>
    </row>
    <row r="49">
      <c r="A49" s="1972"/>
      <c r="B49" s="1970" t="s">
        <v>1572</v>
      </c>
      <c r="C49" s="1454"/>
      <c r="D49" s="1971" t="s">
        <v>1637</v>
      </c>
      <c r="E49" s="1415"/>
      <c r="F49" s="1971" t="s">
        <v>1567</v>
      </c>
      <c r="G49" s="1972"/>
      <c r="H49" s="1970" t="s">
        <v>1133</v>
      </c>
      <c r="I49" s="1454"/>
      <c r="J49" s="1971" t="s">
        <v>1567</v>
      </c>
      <c r="K49" s="1415"/>
      <c r="L49" s="1970" t="s">
        <v>1133</v>
      </c>
      <c r="M49" s="1415"/>
    </row>
    <row r="50">
      <c r="A50" s="1972"/>
      <c r="B50" s="1976" t="s">
        <v>1662</v>
      </c>
      <c r="C50" s="1985"/>
      <c r="D50" s="1976" t="s">
        <v>1577</v>
      </c>
      <c r="E50" s="1454"/>
      <c r="F50" s="1970" t="s">
        <v>1451</v>
      </c>
      <c r="G50" s="1972"/>
      <c r="H50" s="1970" t="s">
        <v>1451</v>
      </c>
      <c r="I50" s="1454"/>
      <c r="J50" s="1970" t="s">
        <v>1663</v>
      </c>
      <c r="K50" s="1415"/>
      <c r="L50" s="1970" t="s">
        <v>1451</v>
      </c>
      <c r="M50" s="1415"/>
    </row>
    <row r="51">
      <c r="A51" s="1972"/>
      <c r="B51" s="1983"/>
      <c r="C51" s="1985"/>
      <c r="D51" s="1971" t="s">
        <v>1572</v>
      </c>
      <c r="E51" s="1454"/>
      <c r="F51" s="1971" t="s">
        <v>1664</v>
      </c>
      <c r="G51" s="1972"/>
      <c r="H51" s="1971" t="s">
        <v>1574</v>
      </c>
      <c r="I51" s="1454"/>
      <c r="J51" s="1976" t="s">
        <v>1577</v>
      </c>
      <c r="K51" s="1415"/>
      <c r="L51" s="1971" t="s">
        <v>1665</v>
      </c>
      <c r="M51" s="1415"/>
    </row>
    <row r="52">
      <c r="A52" s="1415"/>
      <c r="B52" s="1981"/>
      <c r="C52" s="1972"/>
      <c r="D52" s="1970" t="s">
        <v>1666</v>
      </c>
      <c r="E52" s="1454"/>
      <c r="F52" s="1970" t="s">
        <v>1577</v>
      </c>
      <c r="G52" s="1972"/>
      <c r="H52" s="1970" t="s">
        <v>1577</v>
      </c>
      <c r="I52" s="1454"/>
      <c r="J52" s="1970" t="s">
        <v>1572</v>
      </c>
      <c r="K52" s="1972"/>
      <c r="L52" s="1970" t="s">
        <v>1577</v>
      </c>
      <c r="M52" s="1454"/>
    </row>
    <row r="53">
      <c r="A53" s="1415"/>
      <c r="B53" s="1415"/>
      <c r="C53" s="1415"/>
      <c r="D53" s="1981"/>
      <c r="E53" s="1415"/>
      <c r="F53" s="1970" t="s">
        <v>1572</v>
      </c>
      <c r="G53" s="1972"/>
      <c r="H53" s="1970" t="s">
        <v>1572</v>
      </c>
      <c r="I53" s="1454"/>
      <c r="J53" s="1991" t="s">
        <v>1667</v>
      </c>
      <c r="K53" s="1415"/>
      <c r="L53" s="1970" t="s">
        <v>1572</v>
      </c>
      <c r="M53" s="1415"/>
    </row>
    <row r="54">
      <c r="A54" s="1415"/>
      <c r="B54" s="1964" t="s">
        <v>1668</v>
      </c>
      <c r="C54" s="1415"/>
      <c r="D54" s="1992"/>
      <c r="E54" s="1415"/>
      <c r="F54" s="1971" t="s">
        <v>1576</v>
      </c>
      <c r="G54" s="1415"/>
      <c r="H54" s="1970" t="s">
        <v>1576</v>
      </c>
      <c r="I54" s="1415"/>
      <c r="J54" s="1415"/>
      <c r="K54" s="1415"/>
      <c r="L54" s="1970" t="s">
        <v>1576</v>
      </c>
      <c r="M54" s="1415"/>
    </row>
    <row r="55">
      <c r="A55" s="1415"/>
      <c r="B55" s="1965" t="s">
        <v>1669</v>
      </c>
      <c r="C55" s="1972"/>
      <c r="D55" s="1993" t="s">
        <v>49</v>
      </c>
      <c r="E55" s="1454"/>
      <c r="F55" s="1991" t="s">
        <v>1670</v>
      </c>
      <c r="G55" s="1415"/>
      <c r="H55" s="1991" t="s">
        <v>1671</v>
      </c>
      <c r="I55" s="1415"/>
      <c r="J55" s="1415"/>
      <c r="K55" s="1415"/>
      <c r="L55" s="1991" t="s">
        <v>1672</v>
      </c>
      <c r="M55" s="1415"/>
    </row>
    <row r="56">
      <c r="A56" s="1415"/>
      <c r="B56" s="1966" t="s">
        <v>1673</v>
      </c>
      <c r="C56" s="1972"/>
      <c r="D56" s="1994" t="s">
        <v>1674</v>
      </c>
      <c r="E56" s="1454"/>
      <c r="F56" s="1415"/>
      <c r="G56" s="1415"/>
      <c r="H56" s="1414"/>
      <c r="I56" s="1415"/>
      <c r="J56" s="1415"/>
      <c r="K56" s="1415"/>
      <c r="L56" s="1415"/>
      <c r="M56" s="1415"/>
    </row>
    <row r="57">
      <c r="A57" s="1415"/>
      <c r="B57" s="1969" t="s">
        <v>1564</v>
      </c>
      <c r="C57" s="1972"/>
      <c r="D57" s="1995" t="s">
        <v>1675</v>
      </c>
      <c r="E57" s="1454"/>
      <c r="F57" s="1415"/>
      <c r="G57" s="1415"/>
      <c r="H57" s="1415"/>
      <c r="I57" s="1415"/>
      <c r="J57" s="1415"/>
      <c r="K57" s="1415"/>
      <c r="L57" s="1415"/>
      <c r="M57" s="1415"/>
    </row>
    <row r="58">
      <c r="A58" s="1415"/>
      <c r="B58" s="1976" t="s">
        <v>1577</v>
      </c>
      <c r="C58" s="1972"/>
      <c r="D58" s="1996" t="s">
        <v>1564</v>
      </c>
      <c r="E58" s="1454"/>
      <c r="F58" s="1415"/>
      <c r="G58" s="1415"/>
      <c r="H58" s="1415"/>
      <c r="I58" s="1415"/>
      <c r="J58" s="1415"/>
      <c r="K58" s="1415"/>
      <c r="L58" s="1415"/>
      <c r="M58" s="1415"/>
    </row>
    <row r="59">
      <c r="A59" s="1415"/>
      <c r="B59" s="1970" t="s">
        <v>1572</v>
      </c>
      <c r="C59" s="1972"/>
      <c r="D59" s="1970" t="s">
        <v>1563</v>
      </c>
      <c r="E59" s="1454"/>
      <c r="F59" s="1415"/>
      <c r="G59" s="1415"/>
      <c r="H59" s="1415"/>
      <c r="I59" s="1415"/>
      <c r="J59" s="1415"/>
      <c r="K59" s="1415"/>
      <c r="L59" s="1415"/>
      <c r="M59" s="1415"/>
    </row>
    <row r="60">
      <c r="A60" s="1415"/>
      <c r="B60" s="1970" t="s">
        <v>1576</v>
      </c>
      <c r="C60" s="1972"/>
      <c r="D60" s="1970" t="s">
        <v>1660</v>
      </c>
      <c r="E60" s="1454"/>
      <c r="F60" s="1415"/>
      <c r="G60" s="1415"/>
      <c r="H60" s="1415"/>
      <c r="I60" s="1415"/>
      <c r="J60" s="1415"/>
      <c r="K60" s="1415"/>
      <c r="L60" s="1415"/>
      <c r="M60" s="1415"/>
    </row>
    <row r="61" ht="15.75" customHeight="1">
      <c r="A61" s="1415"/>
      <c r="B61" s="1976" t="s">
        <v>1676</v>
      </c>
      <c r="C61" s="1972"/>
      <c r="D61" s="1971" t="s">
        <v>1677</v>
      </c>
      <c r="E61" s="1454"/>
      <c r="F61" s="1415"/>
      <c r="G61" s="1415"/>
      <c r="H61" s="1415"/>
      <c r="I61" s="1415"/>
      <c r="J61" s="1415"/>
      <c r="K61" s="1415"/>
      <c r="L61" s="1415"/>
      <c r="M61" s="1415"/>
    </row>
    <row r="62">
      <c r="A62" s="1415"/>
      <c r="B62" s="1997" t="s">
        <v>1678</v>
      </c>
      <c r="C62" s="1415"/>
      <c r="D62" s="1970" t="s">
        <v>1577</v>
      </c>
      <c r="E62" s="1415"/>
      <c r="F62" s="1415"/>
      <c r="G62" s="1415"/>
      <c r="H62" s="1415"/>
      <c r="I62" s="1415"/>
      <c r="J62" s="1415"/>
      <c r="K62" s="1415"/>
      <c r="L62" s="1415"/>
      <c r="M62" s="1415"/>
    </row>
    <row r="63">
      <c r="A63" s="1415"/>
      <c r="B63" s="1998"/>
      <c r="C63" s="1415"/>
      <c r="D63" s="1970" t="s">
        <v>1572</v>
      </c>
      <c r="E63" s="1415"/>
      <c r="F63" s="1415"/>
      <c r="G63" s="1415"/>
      <c r="H63" s="1415"/>
      <c r="I63" s="1415"/>
      <c r="J63" s="1415"/>
      <c r="K63" s="1415"/>
      <c r="L63" s="1415"/>
      <c r="M63" s="1415"/>
    </row>
    <row r="64">
      <c r="A64" s="1415"/>
      <c r="B64" s="1415"/>
      <c r="C64" s="1415"/>
      <c r="D64" s="1970" t="s">
        <v>1576</v>
      </c>
      <c r="E64" s="1415"/>
      <c r="F64" s="1415"/>
      <c r="G64" s="1415"/>
      <c r="H64" s="1415"/>
      <c r="I64" s="1415"/>
      <c r="J64" s="1415"/>
      <c r="K64" s="1415"/>
      <c r="L64" s="1415"/>
      <c r="M64" s="1415"/>
    </row>
    <row r="65">
      <c r="A65" s="676"/>
      <c r="B65" s="676"/>
      <c r="C65" s="676"/>
      <c r="D65" s="1999" t="s">
        <v>1679</v>
      </c>
      <c r="E65" s="676"/>
      <c r="F65" s="676"/>
      <c r="G65" s="676"/>
      <c r="H65" s="1415"/>
      <c r="I65" s="676"/>
      <c r="J65" s="676"/>
      <c r="K65" s="676"/>
      <c r="L65" s="676"/>
      <c r="M65" s="676"/>
    </row>
    <row r="66">
      <c r="A66" s="676"/>
      <c r="B66" s="676"/>
      <c r="C66" s="676"/>
      <c r="D66" s="676"/>
      <c r="E66" s="676"/>
      <c r="F66" s="676"/>
      <c r="G66" s="676"/>
      <c r="H66" s="1415"/>
      <c r="I66" s="676"/>
      <c r="J66" s="676"/>
      <c r="K66" s="676"/>
      <c r="L66" s="676"/>
      <c r="M66" s="676"/>
    </row>
  </sheetData>
  <mergeCells count="15">
    <mergeCell ref="F28:F29"/>
    <mergeCell ref="C30:F30"/>
    <mergeCell ref="B35:B36"/>
    <mergeCell ref="D36:D37"/>
    <mergeCell ref="J41:J42"/>
    <mergeCell ref="B50:B52"/>
    <mergeCell ref="D52:D53"/>
    <mergeCell ref="B2:L3"/>
    <mergeCell ref="B4:L4"/>
    <mergeCell ref="F14:F15"/>
    <mergeCell ref="L16:L18"/>
    <mergeCell ref="B26:B27"/>
    <mergeCell ref="D28:D29"/>
    <mergeCell ref="J28:J30"/>
    <mergeCell ref="L30:L32"/>
  </mergeCells>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CC4125"/>
    <outlinePr summaryBelow="0" summaryRight="0"/>
  </sheetPr>
  <sheetViews>
    <sheetView workbookViewId="0">
      <pane xSplit="3.0" ySplit="6.0" topLeftCell="D7" activePane="bottomRight" state="frozen"/>
      <selection activeCell="D1" sqref="D1" pane="topRight"/>
      <selection activeCell="A7" sqref="A7" pane="bottomLeft"/>
      <selection activeCell="D7" sqref="D7" pane="bottomRight"/>
    </sheetView>
  </sheetViews>
  <sheetFormatPr customHeight="1" defaultColWidth="14.43" defaultRowHeight="15.75"/>
  <cols>
    <col customWidth="1" min="1" max="1" width="10.86"/>
    <col customWidth="1" min="2" max="2" width="11.0"/>
    <col customWidth="1" min="3" max="3" width="26.29"/>
    <col customWidth="1" min="70" max="139" width="14.43"/>
  </cols>
  <sheetData>
    <row r="1" ht="18.75" customHeight="1">
      <c r="A1" s="127"/>
      <c r="B1" s="128"/>
      <c r="C1" s="128"/>
      <c r="D1" s="128"/>
      <c r="E1" s="128"/>
      <c r="F1" s="128"/>
      <c r="G1" s="128"/>
      <c r="H1" s="128"/>
      <c r="I1" s="128"/>
      <c r="J1" s="128"/>
      <c r="K1" s="128"/>
      <c r="L1" s="128"/>
      <c r="M1" s="128"/>
      <c r="N1" s="128"/>
      <c r="O1" s="128"/>
      <c r="P1" s="128"/>
      <c r="Q1" s="128"/>
      <c r="R1" s="128"/>
      <c r="S1" s="128"/>
      <c r="T1" s="128"/>
      <c r="U1" s="128"/>
      <c r="V1" s="128"/>
      <c r="W1" s="128"/>
      <c r="X1" s="128"/>
      <c r="Y1" s="128"/>
      <c r="Z1" s="128"/>
      <c r="AA1" s="128"/>
      <c r="AB1" s="128"/>
      <c r="AC1" s="128"/>
      <c r="AD1" s="128"/>
      <c r="AE1" s="128"/>
      <c r="AF1" s="128"/>
      <c r="AG1" s="128"/>
      <c r="AH1" s="128"/>
      <c r="AI1" s="128"/>
      <c r="AJ1" s="128"/>
      <c r="AK1" s="128"/>
      <c r="AL1" s="128"/>
      <c r="AM1" s="128"/>
      <c r="AN1" s="128"/>
      <c r="AO1" s="128"/>
      <c r="AP1" s="128"/>
      <c r="AQ1" s="128"/>
      <c r="AR1" s="128"/>
      <c r="AS1" s="128"/>
      <c r="AT1" s="128"/>
      <c r="AU1" s="128"/>
      <c r="AV1" s="128"/>
      <c r="AW1" s="128"/>
      <c r="AX1" s="128"/>
      <c r="AY1" s="128"/>
      <c r="AZ1" s="128"/>
      <c r="BA1" s="128"/>
      <c r="BB1" s="129"/>
      <c r="BC1" s="129"/>
      <c r="BD1" s="2000"/>
      <c r="BE1" s="129"/>
      <c r="BF1" s="129"/>
      <c r="BG1" s="129"/>
      <c r="BH1" s="129"/>
      <c r="BI1" s="129"/>
      <c r="BJ1" s="129"/>
      <c r="BK1" s="129"/>
      <c r="BL1" s="129"/>
      <c r="BM1" s="129"/>
      <c r="BN1" s="129"/>
      <c r="BO1" s="129"/>
      <c r="BP1" s="129"/>
      <c r="BQ1" s="129"/>
      <c r="BR1" s="129"/>
      <c r="BS1" s="129"/>
      <c r="BT1" s="129"/>
      <c r="BU1" s="129"/>
      <c r="BV1" s="129"/>
      <c r="BW1" s="129"/>
      <c r="BX1" s="129"/>
      <c r="BY1" s="129"/>
      <c r="BZ1" s="129"/>
      <c r="CA1" s="129"/>
      <c r="CB1" s="129"/>
      <c r="CC1" s="129"/>
      <c r="CD1" s="129"/>
      <c r="CE1" s="129"/>
      <c r="CF1" s="129"/>
      <c r="CG1" s="129"/>
      <c r="CH1" s="129"/>
      <c r="CI1" s="129"/>
      <c r="CJ1" s="129"/>
      <c r="CK1" s="129"/>
      <c r="CL1" s="129"/>
      <c r="CM1" s="129"/>
      <c r="CN1" s="129"/>
      <c r="CO1" s="129"/>
      <c r="CP1" s="129"/>
      <c r="CQ1" s="129"/>
      <c r="CR1" s="129"/>
      <c r="CS1" s="129"/>
      <c r="CT1" s="129"/>
      <c r="CU1" s="129"/>
      <c r="CV1" s="129"/>
      <c r="CW1" s="129"/>
      <c r="CX1" s="129"/>
      <c r="CY1" s="129"/>
      <c r="CZ1" s="129"/>
      <c r="DA1" s="129"/>
      <c r="DB1" s="129"/>
      <c r="DC1" s="129"/>
      <c r="DD1" s="129"/>
      <c r="DE1" s="129"/>
      <c r="DF1" s="129"/>
      <c r="DG1" s="129"/>
      <c r="DH1" s="129"/>
      <c r="DI1" s="129"/>
      <c r="DJ1" s="129"/>
      <c r="DK1" s="129"/>
      <c r="DL1" s="129"/>
      <c r="DM1" s="129"/>
      <c r="DN1" s="129"/>
      <c r="DO1" s="129"/>
      <c r="DP1" s="129"/>
      <c r="DQ1" s="129"/>
      <c r="DR1" s="129"/>
      <c r="DS1" s="129"/>
      <c r="DT1" s="129"/>
      <c r="DU1" s="129"/>
      <c r="DV1" s="129"/>
      <c r="DW1" s="129"/>
      <c r="DX1" s="129"/>
      <c r="DY1" s="129"/>
      <c r="DZ1" s="129"/>
      <c r="EA1" s="129"/>
      <c r="EB1" s="129"/>
      <c r="EC1" s="129"/>
      <c r="ED1" s="129"/>
      <c r="EE1" s="129"/>
      <c r="EF1" s="129"/>
      <c r="EG1" s="129"/>
      <c r="EH1" s="129"/>
      <c r="EI1" s="129"/>
    </row>
    <row r="2" ht="18.75" customHeight="1">
      <c r="A2" s="130" t="s">
        <v>79</v>
      </c>
      <c r="B2" s="131"/>
      <c r="C2" s="132"/>
      <c r="D2" s="133" t="s">
        <v>80</v>
      </c>
      <c r="E2" s="124"/>
      <c r="F2" s="124"/>
      <c r="G2" s="124"/>
      <c r="H2" s="124"/>
      <c r="I2" s="124"/>
      <c r="J2" s="124"/>
      <c r="K2" s="124"/>
      <c r="L2" s="124"/>
      <c r="M2" s="124"/>
      <c r="N2" s="124"/>
      <c r="O2" s="124"/>
      <c r="P2" s="124"/>
      <c r="Q2" s="124"/>
      <c r="R2" s="124"/>
      <c r="S2" s="124"/>
      <c r="T2" s="124"/>
      <c r="U2" s="124"/>
      <c r="V2" s="124"/>
      <c r="W2" s="124"/>
      <c r="X2" s="124"/>
      <c r="Y2" s="124"/>
      <c r="Z2" s="124"/>
      <c r="AA2" s="124"/>
      <c r="AB2" s="124"/>
      <c r="AC2" s="124"/>
      <c r="AD2" s="124"/>
      <c r="AE2" s="124"/>
      <c r="AF2" s="124"/>
      <c r="AG2" s="124"/>
      <c r="AH2" s="124"/>
      <c r="AI2" s="124"/>
      <c r="AJ2" s="124"/>
      <c r="AK2" s="124"/>
      <c r="AL2" s="124"/>
      <c r="AM2" s="124"/>
      <c r="AN2" s="124"/>
      <c r="AO2" s="124"/>
      <c r="AP2" s="124"/>
      <c r="AQ2" s="124"/>
      <c r="AR2" s="124"/>
      <c r="AS2" s="124"/>
      <c r="AT2" s="124"/>
      <c r="AU2" s="124"/>
      <c r="AV2" s="124"/>
      <c r="AW2" s="124"/>
      <c r="AX2" s="124"/>
      <c r="AY2" s="124"/>
      <c r="AZ2" s="124"/>
      <c r="BA2" s="124"/>
      <c r="BB2" s="124"/>
      <c r="BC2" s="124"/>
      <c r="BD2" s="124"/>
      <c r="BE2" s="124"/>
      <c r="BF2" s="124"/>
      <c r="BG2" s="124"/>
      <c r="BH2" s="124"/>
      <c r="BI2" s="124"/>
      <c r="BJ2" s="124"/>
      <c r="BK2" s="124"/>
      <c r="BL2" s="124"/>
      <c r="BM2" s="124"/>
      <c r="BN2" s="124"/>
      <c r="BO2" s="124"/>
      <c r="BP2" s="124"/>
      <c r="BQ2" s="124"/>
      <c r="BR2" s="124"/>
      <c r="BS2" s="124"/>
      <c r="BT2" s="124"/>
      <c r="BU2" s="124"/>
      <c r="BV2" s="124"/>
      <c r="BW2" s="124"/>
      <c r="BX2" s="124"/>
      <c r="BY2" s="124"/>
      <c r="BZ2" s="124"/>
      <c r="CA2" s="124"/>
      <c r="CB2" s="124"/>
      <c r="CC2" s="124"/>
      <c r="CD2" s="124"/>
      <c r="CE2" s="124"/>
      <c r="CF2" s="124"/>
      <c r="CG2" s="124"/>
      <c r="CH2" s="124"/>
      <c r="CI2" s="124"/>
      <c r="CJ2" s="124"/>
      <c r="CK2" s="124"/>
      <c r="CL2" s="124"/>
      <c r="CM2" s="124"/>
      <c r="CN2" s="124"/>
      <c r="CO2" s="124"/>
      <c r="CP2" s="124"/>
      <c r="CQ2" s="124"/>
      <c r="CR2" s="124"/>
      <c r="CS2" s="124"/>
      <c r="CT2" s="124"/>
      <c r="CU2" s="124"/>
      <c r="CV2" s="124"/>
      <c r="CW2" s="124"/>
      <c r="CX2" s="124"/>
      <c r="CY2" s="124"/>
      <c r="CZ2" s="124"/>
      <c r="DA2" s="124"/>
      <c r="DB2" s="124"/>
      <c r="DC2" s="124"/>
      <c r="DD2" s="124"/>
      <c r="DE2" s="124"/>
      <c r="DF2" s="124"/>
      <c r="DG2" s="124"/>
      <c r="DH2" s="124"/>
      <c r="DI2" s="124"/>
      <c r="DJ2" s="124"/>
      <c r="DK2" s="124"/>
      <c r="DL2" s="124"/>
      <c r="DM2" s="124"/>
      <c r="DN2" s="124"/>
      <c r="DO2" s="124"/>
      <c r="DP2" s="124"/>
      <c r="DQ2" s="124"/>
      <c r="DR2" s="124"/>
      <c r="DS2" s="124"/>
      <c r="DT2" s="124"/>
      <c r="DU2" s="124"/>
      <c r="DV2" s="124"/>
      <c r="DW2" s="124"/>
      <c r="DX2" s="124"/>
      <c r="DY2" s="124"/>
      <c r="DZ2" s="124"/>
      <c r="EA2" s="124"/>
      <c r="EB2" s="124"/>
      <c r="EC2" s="124"/>
      <c r="ED2" s="124"/>
      <c r="EE2" s="124"/>
      <c r="EF2" s="124"/>
      <c r="EG2" s="124"/>
      <c r="EH2" s="124"/>
      <c r="EI2" s="20"/>
    </row>
    <row r="3" ht="18.75" customHeight="1">
      <c r="A3" s="134" t="s">
        <v>128</v>
      </c>
      <c r="C3" s="135"/>
      <c r="D3" s="43"/>
      <c r="EI3" s="44"/>
    </row>
    <row r="4" ht="18.75" customHeight="1">
      <c r="C4" s="135"/>
      <c r="D4" s="136" t="s">
        <v>1680</v>
      </c>
      <c r="E4" s="16"/>
      <c r="F4" s="16"/>
      <c r="G4" s="16"/>
      <c r="H4" s="16"/>
      <c r="I4" s="17"/>
      <c r="J4" s="136" t="s">
        <v>1681</v>
      </c>
      <c r="K4" s="16"/>
      <c r="L4" s="16"/>
      <c r="M4" s="16"/>
      <c r="N4" s="16"/>
      <c r="O4" s="17"/>
      <c r="P4" s="137" t="s">
        <v>1682</v>
      </c>
      <c r="Q4" s="16"/>
      <c r="R4" s="16"/>
      <c r="S4" s="16"/>
      <c r="T4" s="16"/>
      <c r="U4" s="16"/>
      <c r="V4" s="16"/>
      <c r="W4" s="17"/>
      <c r="X4" s="137" t="s">
        <v>1683</v>
      </c>
      <c r="Y4" s="16"/>
      <c r="Z4" s="16"/>
      <c r="AA4" s="16"/>
      <c r="AB4" s="16"/>
      <c r="AC4" s="16"/>
      <c r="AD4" s="17"/>
      <c r="AE4" s="137" t="s">
        <v>1684</v>
      </c>
      <c r="AF4" s="16"/>
      <c r="AG4" s="16"/>
      <c r="AH4" s="16"/>
      <c r="AI4" s="16"/>
      <c r="AJ4" s="16"/>
      <c r="AK4" s="16"/>
      <c r="AL4" s="16"/>
      <c r="AM4" s="17"/>
      <c r="AN4" s="137" t="s">
        <v>1685</v>
      </c>
      <c r="AO4" s="16"/>
      <c r="AP4" s="16"/>
      <c r="AQ4" s="16"/>
      <c r="AR4" s="16"/>
      <c r="AS4" s="16"/>
      <c r="AT4" s="16"/>
      <c r="AU4" s="16"/>
      <c r="AV4" s="17"/>
      <c r="AW4" s="137" t="s">
        <v>1686</v>
      </c>
      <c r="AX4" s="16"/>
      <c r="AY4" s="16"/>
      <c r="AZ4" s="16"/>
      <c r="BA4" s="16"/>
      <c r="BB4" s="16"/>
      <c r="BC4" s="17"/>
      <c r="BD4" s="137" t="s">
        <v>1687</v>
      </c>
      <c r="BE4" s="16"/>
      <c r="BF4" s="16"/>
      <c r="BG4" s="16"/>
      <c r="BH4" s="16"/>
      <c r="BI4" s="16"/>
      <c r="BJ4" s="16"/>
      <c r="BK4" s="16"/>
      <c r="BL4" s="16"/>
      <c r="BM4" s="16"/>
      <c r="BN4" s="16"/>
      <c r="BO4" s="16"/>
      <c r="BP4" s="16"/>
      <c r="BQ4" s="17"/>
      <c r="BR4" s="136" t="s">
        <v>1688</v>
      </c>
      <c r="BS4" s="16"/>
      <c r="BT4" s="16"/>
      <c r="BU4" s="16"/>
      <c r="BV4" s="16"/>
      <c r="BW4" s="16"/>
      <c r="BX4" s="16"/>
      <c r="BY4" s="16"/>
      <c r="BZ4" s="16"/>
      <c r="CA4" s="16"/>
      <c r="CB4" s="16"/>
      <c r="CC4" s="17"/>
      <c r="CD4" s="136" t="s">
        <v>1689</v>
      </c>
      <c r="CE4" s="16"/>
      <c r="CF4" s="16"/>
      <c r="CG4" s="16"/>
      <c r="CH4" s="16"/>
      <c r="CI4" s="16"/>
      <c r="CJ4" s="16"/>
      <c r="CK4" s="16"/>
      <c r="CL4" s="17"/>
      <c r="CM4" s="136" t="s">
        <v>1690</v>
      </c>
      <c r="CN4" s="16"/>
      <c r="CO4" s="16"/>
      <c r="CP4" s="16"/>
      <c r="CQ4" s="16"/>
      <c r="CR4" s="16"/>
      <c r="CS4" s="136" t="s">
        <v>1691</v>
      </c>
      <c r="CT4" s="16"/>
      <c r="CU4" s="16"/>
      <c r="CV4" s="16"/>
      <c r="CW4" s="16"/>
      <c r="CX4" s="16"/>
      <c r="CY4" s="17"/>
      <c r="CZ4" s="136" t="s">
        <v>1692</v>
      </c>
      <c r="DA4" s="16"/>
      <c r="DB4" s="16"/>
      <c r="DC4" s="16"/>
      <c r="DD4" s="16"/>
      <c r="DE4" s="16"/>
      <c r="DF4" s="16"/>
      <c r="DG4" s="17"/>
      <c r="DH4" s="136" t="s">
        <v>1693</v>
      </c>
      <c r="DI4" s="16"/>
      <c r="DJ4" s="16"/>
      <c r="DK4" s="16"/>
      <c r="DL4" s="17"/>
      <c r="DM4" s="137" t="s">
        <v>1694</v>
      </c>
      <c r="DN4" s="16"/>
      <c r="DO4" s="16"/>
      <c r="DP4" s="17"/>
      <c r="DQ4" s="136" t="s">
        <v>1695</v>
      </c>
      <c r="DR4" s="16"/>
      <c r="DS4" s="17"/>
      <c r="DT4" s="137" t="s">
        <v>1696</v>
      </c>
      <c r="DU4" s="16"/>
      <c r="DV4" s="16"/>
      <c r="DW4" s="16"/>
      <c r="DX4" s="17"/>
      <c r="DY4" s="137" t="s">
        <v>1697</v>
      </c>
      <c r="DZ4" s="16"/>
      <c r="EA4" s="16"/>
      <c r="EB4" s="16"/>
      <c r="EC4" s="16"/>
      <c r="ED4" s="17"/>
      <c r="EE4" s="2001" t="s">
        <v>1698</v>
      </c>
      <c r="EF4" s="16"/>
      <c r="EG4" s="16"/>
      <c r="EH4" s="16"/>
      <c r="EI4" s="17"/>
    </row>
    <row r="5" ht="18.75" customHeight="1">
      <c r="A5" s="139" t="s">
        <v>86</v>
      </c>
      <c r="B5" s="140" t="s">
        <v>87</v>
      </c>
      <c r="C5" s="141" t="s">
        <v>88</v>
      </c>
      <c r="D5" s="2002" t="str">
        <f>HYPERLINK("https://reddit.com/r/RMTK/comments/ftq0uh","M0149")</f>
        <v>M0149</v>
      </c>
      <c r="E5" s="2002" t="str">
        <f>HYPERLINK("https://reddit.com/r/RMTK/comments/fu5pcf","M0150")</f>
        <v>M0150</v>
      </c>
      <c r="F5" s="2002" t="str">
        <f>HYPERLINK("https://reddit.com/r/RMTK/comments/frul6g","W0075")</f>
        <v>W0075</v>
      </c>
      <c r="G5" s="2002" t="str">
        <f>HYPERLINK("https://reddit.com/r/RMTK/comments/ft3no2","W0077")</f>
        <v>W0077</v>
      </c>
      <c r="H5" s="2002" t="str">
        <f>HYPERLINK("https://reddit.com/r/RMTK/comments/fur4rn","W0078")</f>
        <v>W0078</v>
      </c>
      <c r="I5" s="2003" t="str">
        <f>HYPERLINK("https://www.reddit.com/r/RMTK/comments/fyhsvd/stemming_tweede_kamer_over_m0163/","M0163")</f>
        <v>M0163</v>
      </c>
      <c r="J5" s="2004" t="str">
        <f>HYPERLINK("https://reddit.com/r/RMTK/comments/fvw34y","M0152")</f>
        <v>M0152</v>
      </c>
      <c r="K5" s="2004" t="str">
        <f>HYPERLINK("https://reddit.com/r/RMTK/comments/fx3ttl","M0153")</f>
        <v>M0153</v>
      </c>
      <c r="L5" s="2004" t="str">
        <f>HYPERLINK("https://reddit.com/r/RMTK/comments/fwa1h8","M0154")</f>
        <v>M0154</v>
      </c>
      <c r="M5" s="2004" t="str">
        <f>HYPERLINK("https://reddit.com/r/RMTK/comments/fz9q6d","W0076-I")</f>
        <v>W0076-I</v>
      </c>
      <c r="N5" s="2004" t="str">
        <f>HYPERLINK("https://reddit.com/r/RMTK/comments/fwhw8q","W0079")</f>
        <v>W0079</v>
      </c>
      <c r="O5" s="2003" t="str">
        <f>HYPERLINK("https://reddit.com/r/RMTK/comments/fx3ttg","W0080")</f>
        <v>W0080</v>
      </c>
      <c r="P5" s="2004" t="str">
        <f>HYPERLINK("https://www.reddit.com/r/RMTK/comments/fxpsug/m0155_motie_tot_hernoeming_flevoland_of_lelystad/","M0155")</f>
        <v>M0155</v>
      </c>
      <c r="Q5" s="2004" t="str">
        <f>HYPERLINK("https://www.reddit.com/r/RMTK/comments/fxhwmu/m0156_motie_tot_jaarlijkse_cursus/","M0156")</f>
        <v>M0156</v>
      </c>
      <c r="R5" s="2004" t="str">
        <f>HYPERLINK("https://www.reddit.com/r/RMTK/comments/fz3pfj/m0157_motie_tot_spelende_kinderen_blij_maken/","M0157")</f>
        <v>M0157</v>
      </c>
      <c r="S5" s="2004" t="str">
        <f>HYPERLINK("https://www.reddit.com/r/RMTK/comments/g0km1j/m0158_motie_tot_versoepelen_rijwetgeving/","M0158")</f>
        <v>M0158</v>
      </c>
      <c r="T5" s="2004" t="str">
        <f>HYPERLINK("https://www.reddit.com/r/RMTK/comments/fsgnao/w0076_vaststelling_van_de_begrotingsstaat_van_het/","W0076")</f>
        <v>W0076</v>
      </c>
      <c r="U5" s="2004" t="str">
        <f>HYPERLINK("https://www.reddit.com/r/RMTK/comments/g4o0o2/w0081i_amendement_tot_wijziging_van_de_wet_op/","W0081-I")</f>
        <v>W0081-I</v>
      </c>
      <c r="V5" s="2002" t="str">
        <f>HYPERLINK("https://www.reddit.com/r/RMTK/comments/g10sdl/w0082_wet_btwverhoging_vleesproducten_en/","W0082")</f>
        <v>W0082</v>
      </c>
      <c r="W5" s="2003" t="str">
        <f>HYPERLINK("https://www.reddit.com/r/RMTK/comments/g4ud01/w0084i_amendement_tot_wijziging_van_de_vlootwet/","W0084-I")</f>
        <v>W0084-I</v>
      </c>
      <c r="X5" s="2002" t="str">
        <f>HYPERLINK("https://www.reddit.com/r/RMTK/comments/g188en/m0159_motie_tot_uitleg_politieke_stromingen_in/","M0159")</f>
        <v>M0159</v>
      </c>
      <c r="Y5" s="2002" t="str">
        <f>HYPERLINK("https://www.reddit.com/r/RMTK/comments/g188dx/m0160_motie_tot_erkenning_van_taiwan_als/","M0160")</f>
        <v>M0160</v>
      </c>
      <c r="Z5" s="2002" t="str">
        <f>HYPERLINK("https://www.reddit.com/r/RMTK/comments/g2gjt7/m0161_motie_tot_verhoging_salaris_militairen/","M0161")</f>
        <v>M0161</v>
      </c>
      <c r="AA5" s="2002" t="str">
        <f>HYPERLINK("https://www.reddit.com/r/RMTK/comments/gbfml1/w0081_wijziging_van_de_wet_op_het_voortgezet/","W0081")</f>
        <v>W0081</v>
      </c>
      <c r="AB5" s="2002" t="str">
        <f>HYPERLINK("https://www.reddit.com/r/RMTK/comments/g1mxke/w0083_wetswijziging_ter_afschaffing_automatisch/","W0083")</f>
        <v>W0083</v>
      </c>
      <c r="AC5" s="2002" t="str">
        <f>HYPERLINK("https://www.reddit.com/r/RMTK/comments/g2bf4w/w0084_vlootwet_2020/","W0084")</f>
        <v>W0084</v>
      </c>
      <c r="AD5" s="2003" t="str">
        <f>HYPERLINK("https://www.reddit.com/r/RMTK/comments/g3jxay/w0085_wetswijziging_van_de_wet_op_de_kansspelen/","W0085")</f>
        <v>W0085</v>
      </c>
      <c r="AE5" s="2002" t="str">
        <f>HYPERLINK("https://reddit.com/r/RMTK/comments/g3pugv","M0162")</f>
        <v>M0162</v>
      </c>
      <c r="AF5" s="2002" t="str">
        <f>HYPERLINK("https://reddit.com/r/RMTK/comments/g5eso7","M0164")</f>
        <v>M0164</v>
      </c>
      <c r="AG5" s="2002" t="str">
        <f>HYPERLINK("https://reddit.com/r/RMTK/comments/g5wgvo","M0165")</f>
        <v>M0165</v>
      </c>
      <c r="AH5" s="2002" t="str">
        <f>HYPERLINK("https://reddit.com/r/RMTK/comments/g6m9by","M0166")</f>
        <v>M0166</v>
      </c>
      <c r="AI5" s="2002" t="str">
        <f>HYPERLINK("https://reddit.com/r/RMTK/comments/gdb6s1","M0178")</f>
        <v>M0178</v>
      </c>
      <c r="AJ5" s="2002" t="str">
        <f>HYPERLINK("https://reddit.com/r/RMTK/comments/g5aglx","W0086")</f>
        <v>W0086</v>
      </c>
      <c r="AK5" s="2002" t="str">
        <f>HYPERLINK("https://reddit.com/r/RMTK/comments/g60qgw","W0087")</f>
        <v>W0087</v>
      </c>
      <c r="AL5" s="2002" t="str">
        <f>HYPERLINK("https://reddit.com/r/RMTK/comments/gehwkg","W0090")</f>
        <v>W0090</v>
      </c>
      <c r="AM5" s="2003" t="str">
        <f>HYPERLINK("https://reddit.com/r/RMTK/comments/gc4mq7","W088-I")</f>
        <v>W088-I</v>
      </c>
      <c r="AN5" s="2002" t="str">
        <f>(HYPERLINK("https://www.reddit.com/r/RMTK/comments/g7t5gv/m0167_motie_tot_verbieden_participatieverklaring/", "M0167"))</f>
        <v>M0167</v>
      </c>
      <c r="AO5" s="2002" t="str">
        <f>HYPERLINK("https://www.reddit.com/r/RMTK/comments/g9mrib", "W0089")</f>
        <v>W0089</v>
      </c>
      <c r="AP5" s="2002" t="str">
        <f>HYPERLINK("https://www.reddit.com/r/RMTK/comments/ga90n1/m0168_zoeken_van_draagvlak_voor_de_participatie/", "M0168")</f>
        <v>M0168</v>
      </c>
      <c r="AQ5" s="2002" t="str">
        <f>HYPERLINK("https://www.reddit.com/r/RMTK/comments/gav8k0/m0169_motie_tot_aanschaf_betere_wapens_voor_het/","M0169")</f>
        <v>M0169</v>
      </c>
      <c r="AR5" s="2002" t="str">
        <f>HYPERLINK("https://www.reddit.com/r/RMTK/comments/gdvpgj/m0170_motie_tot_het_verhogen_van_salarissen_voor/","M0170")</f>
        <v>M0170</v>
      </c>
      <c r="AS5" s="2002" t="str">
        <f>HYPERLINK("https://www.reddit.com/r/RMTK/comments/g6i299/w0088_wetswijziging_tot_inkorting_aanpassing/", "W0088") </f>
        <v>W0088</v>
      </c>
      <c r="AT5" s="2002" t="str">
        <f>HYPERLINK("https://www.reddit.com/r/RMTK/comments/gdxb1s/m0179_motie_tot_bevestiging_steun_voor_moties/","M0179") </f>
        <v>M0179</v>
      </c>
      <c r="AU5" s="2002" t="str">
        <f>HYPERLINK("https://www.reddit.com/r/RMTK/comments/gf4gid/m0171_motie_tot_vak_belastingaangifte/", "M0171")</f>
        <v>M0171</v>
      </c>
      <c r="AV5" s="2003" t="str">
        <f>HYPERLINK("https://www.reddit.com/r/RMTK/comments/ghu0dd/m0182_motie_van_wantrouwen_jegens_de_minister_van/", "M0182")</f>
        <v>M0182</v>
      </c>
      <c r="AW5" s="2002" t="s">
        <v>465</v>
      </c>
      <c r="AX5" s="2002" t="s">
        <v>448</v>
      </c>
      <c r="AY5" s="2002" t="s">
        <v>459</v>
      </c>
      <c r="AZ5" s="2005" t="s">
        <v>469</v>
      </c>
      <c r="BA5" s="2005" t="s">
        <v>708</v>
      </c>
      <c r="BB5" s="2005" t="s">
        <v>710</v>
      </c>
      <c r="BC5" s="2006" t="s">
        <v>713</v>
      </c>
      <c r="BD5" s="2002" t="s">
        <v>449</v>
      </c>
      <c r="BE5" s="2005" t="s">
        <v>450</v>
      </c>
      <c r="BF5" s="2005" t="s">
        <v>451</v>
      </c>
      <c r="BG5" s="2005" t="s">
        <v>452</v>
      </c>
      <c r="BH5" s="2005" t="s">
        <v>453</v>
      </c>
      <c r="BI5" s="2005" t="s">
        <v>461</v>
      </c>
      <c r="BJ5" s="2005" t="s">
        <v>487</v>
      </c>
      <c r="BK5" s="2005" t="s">
        <v>508</v>
      </c>
      <c r="BL5" s="2005" t="s">
        <v>715</v>
      </c>
      <c r="BM5" s="2005" t="s">
        <v>717</v>
      </c>
      <c r="BN5" s="2005" t="s">
        <v>719</v>
      </c>
      <c r="BO5" s="2005" t="s">
        <v>1699</v>
      </c>
      <c r="BP5" s="2005" t="s">
        <v>725</v>
      </c>
      <c r="BQ5" s="2006" t="s">
        <v>735</v>
      </c>
      <c r="BR5" s="2007" t="str">
        <f>HYPERLINK("https://www.reddit.com/r/RMTK/comments/gqx5v0/m0184_motie_tot_behoud_luchtalarm/","M0184")</f>
        <v>M0184</v>
      </c>
      <c r="BS5" s="2002" t="str">
        <f>HYPERLINK("https://www.reddit.com/r/RMTK/comments/gs45z9/m0186_motie_om_de_hongerwinter_als_genocide_te/","M0186")</f>
        <v>M0186</v>
      </c>
      <c r="BT5" s="2002" t="str">
        <f>HYPERLINK("https://www.reddit.com/r/RMTK/comments/gs45zz/m0187_motie_tot_onderzoek_naar_drugshandel_op/","M0187")</f>
        <v>M0187</v>
      </c>
      <c r="BU5" s="2002" t="str">
        <f>HYPERLINK("https://www.reddit.com/r/RMTK/comments/gsum5i/m0188_motie_tot_opkopen_emissierechten/","M0188")</f>
        <v>M0188</v>
      </c>
      <c r="BV5" s="2002" t="str">
        <f>HYPERLINK("https://www.reddit.com/r/RMTK/comments/gtcjds/m0189_motie_tot_limiteren_topsalarissen/","M0189")</f>
        <v>M0189</v>
      </c>
      <c r="BW5" s="2002" t="str">
        <f>HYPERLINK("https://www.reddit.com/r/RMTK/comments/guimoh/m0190_motie_tot_decriminaliseren_drugs/","M0190")</f>
        <v>M0190</v>
      </c>
      <c r="BX5" s="2002" t="str">
        <f>HYPERLINK("https://www.reddit.com/r/RMTK/comments/gtcje1/m0195_motie_tot_een_verbod_op_homogenezing/","M0195")</f>
        <v>M0195</v>
      </c>
      <c r="BY5" s="2002" t="str">
        <f>HYPERLINK("https://www.reddit.com/r/RMTK/comments/gtx72s/m0196_motie_voor_het_beperken_van_klimaatschade/","M0196")</f>
        <v>M0196</v>
      </c>
      <c r="BZ5" s="2002" t="str">
        <f>HYPERLINK("https://www.reddit.com/r/RMTK/comments/gq93eq/m0197_motie_tot_raadgevend_referendum_aangaande/","M0197")</f>
        <v>M0197</v>
      </c>
      <c r="CA5" s="2002" t="str">
        <f>HYPERLINK("https://www.reddit.com/r/RMTK/comments/grhml2/w0099_wetswijziging_mediawet/","W0099")</f>
        <v>W0099</v>
      </c>
      <c r="CB5" s="2002" t="str">
        <f>HYPERLINK("https://www.reddit.com/r/RMTK/comments/gum7nb/w0100s_spoedwet_ter_wijziging_van_de/","W0100")</f>
        <v>W0100</v>
      </c>
      <c r="CC5" s="2003" t="str">
        <f>HYPERLINK("https://www.reddit.com/r/RMTK/comments/gu0n1s/w0101_wetsvoorstel_tot_oprichting_mata_hari_fonds/","W0101")</f>
        <v>W0101</v>
      </c>
      <c r="CD5" s="2002" t="s">
        <v>481</v>
      </c>
      <c r="CE5" s="2005" t="s">
        <v>483</v>
      </c>
      <c r="CF5" s="2005" t="s">
        <v>485</v>
      </c>
      <c r="CG5" s="2005" t="s">
        <v>496</v>
      </c>
      <c r="CH5" s="2005" t="s">
        <v>498</v>
      </c>
      <c r="CI5" s="2005" t="s">
        <v>506</v>
      </c>
      <c r="CJ5" s="2005" t="s">
        <v>510</v>
      </c>
      <c r="CK5" s="2005" t="s">
        <v>512</v>
      </c>
      <c r="CL5" s="2006" t="s">
        <v>1700</v>
      </c>
      <c r="CM5" s="2008" t="s">
        <v>500</v>
      </c>
      <c r="CN5" s="2009" t="s">
        <v>514</v>
      </c>
      <c r="CO5" s="2009" t="s">
        <v>516</v>
      </c>
      <c r="CP5" s="2009" t="s">
        <v>522</v>
      </c>
      <c r="CQ5" s="2009" t="s">
        <v>733</v>
      </c>
      <c r="CR5" s="2010" t="s">
        <v>740</v>
      </c>
      <c r="CS5" s="2011" t="str">
        <f>hyperlink("https://www.reddit.com/r/RMTK/comments/ha1tpn/m0202_motie_tot_intensivering_aanleg/","M0202")</f>
        <v>M0202</v>
      </c>
      <c r="CT5" s="235" t="str">
        <f>hyperlink("https://www.reddit.com/r/RMTK/comments/hd54xz/m0210_motie_tot_nauwere_militaire_samenwerking/","M0210")</f>
        <v>M0210</v>
      </c>
      <c r="CU5" s="235" t="str">
        <f>hyperlink("https://www.reddit.com/r/RMTK/comments/hckdcr/m0212_motie_tot_terugdraaiing_wet_passend/","M0212")</f>
        <v>M0212</v>
      </c>
      <c r="CV5" s="235" t="str">
        <f>hyperlink("https://www.reddit.com/r/RMTK/comments/hc9suo/m0213_voorwaardelijke_motie_van_wantrouwen_jegens/","M0213")</f>
        <v>M0213</v>
      </c>
      <c r="CW5" s="235" t="str">
        <f>hyperlink("https://www.reddit.com/r/RMTK/comments/hdqade/m0214_motie_tot_onmiddelijke_verhoging/","M0214")</f>
        <v>M0214</v>
      </c>
      <c r="CX5" s="235" t="str">
        <f>hyperlink("https://www.reddit.com/r/RMTK/comments/he1tfe/m0215_motie_tot_hogere_uitkeringen_voor_sociaal/","M0215")</f>
        <v>M0215</v>
      </c>
      <c r="CY5" s="243" t="str">
        <f>hyperlink("https://www.reddit.com/r/RMTK/comments/gnyh8p/w0097_wet_tot_invoering_dagboetes/","W0097")</f>
        <v>W0097</v>
      </c>
      <c r="CZ5" s="2012" t="str">
        <f>hyperlink("https://reddit.com/r/RMTK/comments/h85hkh","M0201")</f>
        <v>M0201</v>
      </c>
      <c r="DA5" s="235" t="str">
        <f>hyperlink("https://reddit.com/r/RMTK/comments/hbmtfw","M0209")</f>
        <v>M0209</v>
      </c>
      <c r="DB5" s="235" t="str">
        <f>hyperlink("https://reddit.com/r/RMTK/comments/hhxu98","M0216")</f>
        <v>M0216</v>
      </c>
      <c r="DC5" s="235" t="str">
        <f>hyperlink("https://reddit.com/r/RMTK/comments/hil801","M0217")</f>
        <v>M0217</v>
      </c>
      <c r="DD5" s="235" t="str">
        <f>hyperlink("https://reddit.com/r/RMTK/comments/hez1cm","W0106")</f>
        <v>W0106</v>
      </c>
      <c r="DE5" s="235" t="str">
        <f>hyperlink("https://reddit.com/r/RMTK/comments/hfk4zw","W0107")</f>
        <v>W0107</v>
      </c>
      <c r="DF5" s="235" t="str">
        <f>hyperlink("https://reddit.com/r/RMTK/comments/himh1r","W0108-I")</f>
        <v>W0108-I</v>
      </c>
      <c r="DG5" s="243" t="str">
        <f>hyperlink("https://reddit.com/r/RMTK/comments/hhckd2","W0109")</f>
        <v>W0109</v>
      </c>
      <c r="DH5" s="235" t="str">
        <f>hyperlink("https://reddit.com/r/RMTK/comments/hm4wab","M0218")</f>
        <v>M0218</v>
      </c>
      <c r="DI5" s="235" t="str">
        <f>hyperlink("https://reddit.com/r/RMTK/comments/hmrrak","M0219")</f>
        <v>M0219</v>
      </c>
      <c r="DJ5" s="235" t="str">
        <f>hyperlink("https://reddit.com/r/RMTK/comments/hgh3pe","W0108")</f>
        <v>W0108</v>
      </c>
      <c r="DK5" s="235" t="str">
        <f>hyperlink("https://reddit.com/r/RMTK/comments/hj83fw","W0110")</f>
        <v>W0110</v>
      </c>
      <c r="DL5" s="243" t="str">
        <f>hyperlink("https://reddit.com/r/RMTK/comments/hjuz32","W0111")</f>
        <v>W0111</v>
      </c>
      <c r="DM5" s="2013" t="str">
        <f>hyperlink("https://reddit.com/r/RMTK/comments/ho0htn", "M0220")</f>
        <v>M0220</v>
      </c>
      <c r="DN5" s="2014" t="str">
        <f>hyperlink("https://reddit.com/r/RMTK/comments/hqcm8l","M0221")</f>
        <v>M0221</v>
      </c>
      <c r="DO5" s="2013" t="str">
        <f>hyperlink("https://reddit.com/r/RMTK/comments/hqytga","M0222")</f>
        <v>M0222</v>
      </c>
      <c r="DP5" s="2015" t="str">
        <f>hyperlink("https://reddit.com/r/RMTK/comments/hned9g","W0112")</f>
        <v>W0112</v>
      </c>
      <c r="DQ5" s="244" t="str">
        <f>hyperlink("https://reddit.com/r/RMTK/comments/hrkvj3", "M0223")</f>
        <v>M0223</v>
      </c>
      <c r="DR5" s="235" t="str">
        <f>hyperlink("https://reddit.com/r/RMTK/comments/hs6xlt", "M0224")</f>
        <v>M0224</v>
      </c>
      <c r="DS5" s="243" t="str">
        <f>hyperlink("https://reddit.com/r/RMTK/comments/hv4qw4", "W0114")</f>
        <v>W0114</v>
      </c>
      <c r="DT5" s="244" t="str">
        <f>hyperlink("https://reddit.com/r/RMTK/comments/hwdo6h", "M0229")</f>
        <v>M0229</v>
      </c>
      <c r="DU5" s="244" t="str">
        <f>hyperlink("https://reddit.com/r/RMTK/comments/hwzqpe", "W0113-I")</f>
        <v>W0113-I</v>
      </c>
      <c r="DV5" s="244" t="str">
        <f>hyperlink("https://reddit.com/r/RMTK/comments/hvr3js", "W0115")</f>
        <v>W0115</v>
      </c>
      <c r="DW5" s="244" t="str">
        <f>hyperlink("https://reddit.com/r/RMTK/comments/hwd0lv", "W0116")</f>
        <v>W0116</v>
      </c>
      <c r="DX5" s="2016" t="str">
        <f>hyperlink("https://reddit.com/r/RMTK/comments/hzdmjq", "W0117-I")</f>
        <v>W0117-I</v>
      </c>
      <c r="DY5" s="244" t="str">
        <f>hyperlink("https://reddit.com/r/RMTK/comments/hzy20q", "M0225")</f>
        <v>M0225</v>
      </c>
      <c r="DZ5" s="244" t="str">
        <f>hyperlink("https://reddit.com/r/RMTK/comments/huioh6", "W0113")</f>
        <v>W0113</v>
      </c>
      <c r="EA5" s="244" t="str">
        <f>hyperlink("https://reddit.com/r/RMTK/comments/hypi3e", "W0117")</f>
        <v>W0117</v>
      </c>
      <c r="EB5" s="244" t="str">
        <f>hyperlink("https://reddit.com/r/RMTK/comments/i0pg7a", "W0118-I")</f>
        <v>W0118-I</v>
      </c>
      <c r="EC5" s="244" t="str">
        <f>hyperlink("https://reddit.com/r/RMTK/comments/i0jew5", "W0119")</f>
        <v>W0119</v>
      </c>
      <c r="ED5" s="2017" t="str">
        <f>hyperlink("https://reddit.com/r/RMTK/comments/i2ucsj", "W0120")</f>
        <v>W0120</v>
      </c>
      <c r="EE5" s="235" t="str">
        <f>HYPERLINK("https://reddit.com/r/RMTK/comments/i4p0om", "M0226")</f>
        <v>M0226</v>
      </c>
      <c r="EF5" s="235" t="str">
        <f>HYPERLINK("https://reddit.com/r/RMTK/comments/i42kh7", "M0227")</f>
        <v>M0227</v>
      </c>
      <c r="EG5" s="235" t="str">
        <f>HYPERLINK("https://reddit.com/r/RMTK/comments/i721ot", "M0228")</f>
        <v>M0228</v>
      </c>
      <c r="EH5" s="235" t="str">
        <f>HYPERLINK("https://reddit.com/r/RMTK/comments/hzbyx6", "W0118")</f>
        <v>W0118</v>
      </c>
      <c r="EI5" s="235" t="str">
        <f>HYPERLINK("https://reddit.com/r/RMTK/comments/i7p1yp", "W0122")</f>
        <v>W0122</v>
      </c>
    </row>
    <row r="6" ht="9.0" customHeight="1">
      <c r="A6" s="145"/>
      <c r="B6" s="146"/>
      <c r="C6" s="146"/>
      <c r="D6" s="147"/>
      <c r="E6" s="2018"/>
      <c r="F6" s="2018"/>
      <c r="G6" s="145"/>
      <c r="H6" s="145"/>
      <c r="I6" s="247"/>
      <c r="J6" s="2019"/>
      <c r="K6" s="145"/>
      <c r="L6" s="245"/>
      <c r="M6" s="147"/>
      <c r="N6" s="2018"/>
      <c r="O6" s="2020"/>
      <c r="P6" s="2019"/>
      <c r="Q6" s="2018"/>
      <c r="R6" s="145"/>
      <c r="S6" s="2021"/>
      <c r="T6" s="2021"/>
      <c r="U6" s="245"/>
      <c r="V6" s="2018"/>
      <c r="W6" s="2022"/>
      <c r="X6" s="2023"/>
      <c r="Y6" s="2018"/>
      <c r="Z6" s="145"/>
      <c r="AA6" s="245"/>
      <c r="AB6" s="2018"/>
      <c r="AC6" s="2018"/>
      <c r="AD6" s="2022"/>
      <c r="AE6" s="2023"/>
      <c r="AF6" s="2018"/>
      <c r="AG6" s="145"/>
      <c r="AH6" s="245"/>
      <c r="AI6" s="2018"/>
      <c r="AJ6" s="145"/>
      <c r="AK6" s="245"/>
      <c r="AL6" s="245"/>
      <c r="AM6" s="2022"/>
      <c r="AN6" s="146"/>
      <c r="AO6" s="245"/>
      <c r="AP6" s="245"/>
      <c r="AQ6" s="2023"/>
      <c r="AR6" s="2023"/>
      <c r="AS6" s="2023"/>
      <c r="AT6" s="245"/>
      <c r="AU6" s="2023"/>
      <c r="AV6" s="2024"/>
      <c r="AW6" s="2023"/>
      <c r="AX6" s="2018"/>
      <c r="AY6" s="145"/>
      <c r="AZ6" s="245"/>
      <c r="BA6" s="2019"/>
      <c r="BB6" s="2019"/>
      <c r="BC6" s="148"/>
      <c r="BD6" s="2019"/>
      <c r="BE6" s="2019"/>
      <c r="BF6" s="2019"/>
      <c r="BG6" s="2019"/>
      <c r="BH6" s="2019"/>
      <c r="BI6" s="2019"/>
      <c r="BJ6" s="2019"/>
      <c r="BK6" s="2019"/>
      <c r="BL6" s="2019"/>
      <c r="BM6" s="2019"/>
      <c r="BN6" s="2019"/>
      <c r="BO6" s="2019"/>
      <c r="BP6" s="2019"/>
      <c r="BQ6" s="148"/>
      <c r="BR6" s="2025"/>
      <c r="BS6" s="2019"/>
      <c r="BT6" s="2019"/>
      <c r="BU6" s="2019"/>
      <c r="BV6" s="2019"/>
      <c r="BW6" s="2019"/>
      <c r="BX6" s="2019"/>
      <c r="BY6" s="2019"/>
      <c r="BZ6" s="2019"/>
      <c r="CA6" s="2019"/>
      <c r="CB6" s="2019"/>
      <c r="CC6" s="148"/>
      <c r="CD6" s="2019"/>
      <c r="CE6" s="2019"/>
      <c r="CF6" s="2019"/>
      <c r="CG6" s="2019"/>
      <c r="CH6" s="2019"/>
      <c r="CI6" s="2019"/>
      <c r="CJ6" s="2019"/>
      <c r="CK6" s="2019"/>
      <c r="CL6" s="148"/>
      <c r="CM6" s="2026"/>
      <c r="CN6" s="2027"/>
      <c r="CO6" s="2027"/>
      <c r="CP6" s="2027"/>
      <c r="CQ6" s="2027"/>
      <c r="CR6" s="2028"/>
      <c r="CS6" s="2027"/>
      <c r="CT6" s="2029"/>
      <c r="CU6" s="2029"/>
      <c r="CV6" s="2029"/>
      <c r="CW6" s="2029"/>
      <c r="CX6" s="2029"/>
      <c r="CY6" s="2030"/>
      <c r="CZ6" s="2029"/>
      <c r="DA6" s="2029"/>
      <c r="DB6" s="2029"/>
      <c r="DC6" s="2029"/>
      <c r="DD6" s="2029"/>
      <c r="DE6" s="2029"/>
      <c r="DF6" s="2031"/>
      <c r="DG6" s="2030"/>
      <c r="DH6" s="2029"/>
      <c r="DI6" s="2029"/>
      <c r="DJ6" s="2029"/>
      <c r="DK6" s="2029"/>
      <c r="DL6" s="2030"/>
      <c r="DM6" s="2029"/>
      <c r="DN6" s="2029"/>
      <c r="DO6" s="2029"/>
      <c r="DP6" s="2030"/>
      <c r="DQ6" s="2029"/>
      <c r="DR6" s="2029"/>
      <c r="DS6" s="2030"/>
      <c r="DT6" s="2029"/>
      <c r="DU6" s="2029"/>
      <c r="DV6" s="2029"/>
      <c r="DW6" s="2029"/>
      <c r="DX6" s="2030"/>
      <c r="DY6" s="2029"/>
      <c r="DZ6" s="2029"/>
      <c r="EA6" s="2029"/>
      <c r="EB6" s="2029"/>
      <c r="EC6" s="2029"/>
      <c r="ED6" s="2030"/>
      <c r="EE6" s="2029"/>
      <c r="EF6" s="2029"/>
      <c r="EG6" s="2029"/>
      <c r="EH6" s="2029"/>
      <c r="EI6" s="2029"/>
    </row>
    <row r="7" ht="18.75" customHeight="1">
      <c r="A7" s="149" t="s">
        <v>89</v>
      </c>
      <c r="B7" s="150" t="s">
        <v>15</v>
      </c>
      <c r="C7" s="151" t="s">
        <v>97</v>
      </c>
      <c r="D7" s="369" t="s">
        <v>93</v>
      </c>
      <c r="E7" s="369" t="s">
        <v>93</v>
      </c>
      <c r="F7" s="369" t="s">
        <v>93</v>
      </c>
      <c r="G7" s="369" t="s">
        <v>93</v>
      </c>
      <c r="H7" s="369" t="s">
        <v>93</v>
      </c>
      <c r="I7" s="2032" t="s">
        <v>61</v>
      </c>
      <c r="J7" s="369" t="s">
        <v>93</v>
      </c>
      <c r="K7" s="369" t="s">
        <v>93</v>
      </c>
      <c r="L7" s="369" t="s">
        <v>93</v>
      </c>
      <c r="M7" s="369" t="s">
        <v>93</v>
      </c>
      <c r="N7" s="369" t="s">
        <v>93</v>
      </c>
      <c r="O7" s="2032" t="s">
        <v>93</v>
      </c>
      <c r="P7" s="369" t="s">
        <v>93</v>
      </c>
      <c r="Q7" s="369" t="s">
        <v>93</v>
      </c>
      <c r="R7" s="369" t="s">
        <v>93</v>
      </c>
      <c r="S7" s="369" t="s">
        <v>93</v>
      </c>
      <c r="T7" s="369" t="s">
        <v>93</v>
      </c>
      <c r="U7" s="369" t="s">
        <v>93</v>
      </c>
      <c r="V7" s="369" t="s">
        <v>93</v>
      </c>
      <c r="W7" s="2032" t="s">
        <v>93</v>
      </c>
      <c r="X7" s="369" t="s">
        <v>92</v>
      </c>
      <c r="Y7" s="369" t="s">
        <v>92</v>
      </c>
      <c r="Z7" s="369" t="s">
        <v>91</v>
      </c>
      <c r="AA7" s="369" t="s">
        <v>91</v>
      </c>
      <c r="AB7" s="369" t="s">
        <v>91</v>
      </c>
      <c r="AC7" s="369" t="s">
        <v>92</v>
      </c>
      <c r="AD7" s="2032" t="s">
        <v>91</v>
      </c>
      <c r="AE7" s="369" t="s">
        <v>92</v>
      </c>
      <c r="AF7" s="369" t="s">
        <v>92</v>
      </c>
      <c r="AG7" s="369" t="s">
        <v>91</v>
      </c>
      <c r="AH7" s="369" t="s">
        <v>91</v>
      </c>
      <c r="AI7" s="369" t="s">
        <v>92</v>
      </c>
      <c r="AJ7" s="369" t="s">
        <v>91</v>
      </c>
      <c r="AK7" s="369" t="s">
        <v>91</v>
      </c>
      <c r="AL7" s="369" t="s">
        <v>91</v>
      </c>
      <c r="AM7" s="2032" t="s">
        <v>91</v>
      </c>
      <c r="AN7" s="369" t="s">
        <v>1701</v>
      </c>
      <c r="AO7" s="369" t="s">
        <v>1702</v>
      </c>
      <c r="AP7" s="2033" t="s">
        <v>1702</v>
      </c>
      <c r="AQ7" s="2033" t="s">
        <v>1702</v>
      </c>
      <c r="AR7" s="2033" t="s">
        <v>1702</v>
      </c>
      <c r="AS7" s="2033" t="s">
        <v>1702</v>
      </c>
      <c r="AT7" s="2033" t="s">
        <v>1702</v>
      </c>
      <c r="AU7" s="2033" t="s">
        <v>1703</v>
      </c>
      <c r="AV7" s="2034" t="s">
        <v>1703</v>
      </c>
      <c r="AW7" s="2033" t="s">
        <v>1702</v>
      </c>
      <c r="AX7" s="369" t="s">
        <v>1702</v>
      </c>
      <c r="AY7" s="369" t="s">
        <v>1702</v>
      </c>
      <c r="AZ7" s="369" t="s">
        <v>1703</v>
      </c>
      <c r="BA7" s="369" t="s">
        <v>1702</v>
      </c>
      <c r="BB7" s="369" t="s">
        <v>1702</v>
      </c>
      <c r="BC7" s="2032" t="s">
        <v>1703</v>
      </c>
      <c r="BD7" s="2033" t="s">
        <v>92</v>
      </c>
      <c r="BE7" s="2033" t="s">
        <v>92</v>
      </c>
      <c r="BF7" s="2033" t="s">
        <v>91</v>
      </c>
      <c r="BG7" s="2033" t="s">
        <v>92</v>
      </c>
      <c r="BH7" s="2033" t="s">
        <v>92</v>
      </c>
      <c r="BI7" s="2033" t="s">
        <v>92</v>
      </c>
      <c r="BJ7" s="369" t="s">
        <v>91</v>
      </c>
      <c r="BK7" s="369" t="s">
        <v>92</v>
      </c>
      <c r="BL7" s="369" t="s">
        <v>92</v>
      </c>
      <c r="BM7" s="369" t="s">
        <v>91</v>
      </c>
      <c r="BN7" s="369" t="s">
        <v>91</v>
      </c>
      <c r="BO7" s="369" t="s">
        <v>92</v>
      </c>
      <c r="BP7" s="369" t="s">
        <v>91</v>
      </c>
      <c r="BQ7" s="2032" t="s">
        <v>91</v>
      </c>
      <c r="BR7" s="2035" t="s">
        <v>93</v>
      </c>
      <c r="BS7" s="2036" t="s">
        <v>93</v>
      </c>
      <c r="BT7" s="2036" t="s">
        <v>93</v>
      </c>
      <c r="BU7" s="2036" t="s">
        <v>93</v>
      </c>
      <c r="BV7" s="2036" t="s">
        <v>93</v>
      </c>
      <c r="BW7" s="2036" t="s">
        <v>93</v>
      </c>
      <c r="BX7" s="2036" t="s">
        <v>93</v>
      </c>
      <c r="BY7" s="2036" t="s">
        <v>93</v>
      </c>
      <c r="BZ7" s="2036" t="s">
        <v>93</v>
      </c>
      <c r="CA7" s="2036" t="s">
        <v>93</v>
      </c>
      <c r="CB7" s="2036" t="s">
        <v>93</v>
      </c>
      <c r="CC7" s="2037" t="s">
        <v>93</v>
      </c>
      <c r="CD7" s="369" t="s">
        <v>1703</v>
      </c>
      <c r="CE7" s="369" t="s">
        <v>1702</v>
      </c>
      <c r="CF7" s="369" t="s">
        <v>1702</v>
      </c>
      <c r="CG7" s="369" t="s">
        <v>1702</v>
      </c>
      <c r="CH7" s="369" t="s">
        <v>1702</v>
      </c>
      <c r="CI7" s="369" t="s">
        <v>1703</v>
      </c>
      <c r="CJ7" s="369" t="s">
        <v>1702</v>
      </c>
      <c r="CK7" s="369" t="s">
        <v>1702</v>
      </c>
      <c r="CL7" s="369" t="s">
        <v>1703</v>
      </c>
      <c r="CM7" s="2038" t="s">
        <v>91</v>
      </c>
      <c r="CN7" s="2039" t="s">
        <v>91</v>
      </c>
      <c r="CO7" s="2039" t="s">
        <v>91</v>
      </c>
      <c r="CP7" s="2039" t="s">
        <v>91</v>
      </c>
      <c r="CQ7" s="2039" t="s">
        <v>91</v>
      </c>
      <c r="CR7" s="2040" t="s">
        <v>92</v>
      </c>
      <c r="CS7" s="369" t="s">
        <v>91</v>
      </c>
      <c r="CT7" s="369" t="s">
        <v>91</v>
      </c>
      <c r="CU7" s="369" t="s">
        <v>92</v>
      </c>
      <c r="CV7" s="369" t="s">
        <v>91</v>
      </c>
      <c r="CW7" s="369" t="s">
        <v>92</v>
      </c>
      <c r="CX7" s="369" t="s">
        <v>91</v>
      </c>
      <c r="CY7" s="2032" t="s">
        <v>91</v>
      </c>
      <c r="CZ7" s="369" t="s">
        <v>91</v>
      </c>
      <c r="DA7" s="369" t="s">
        <v>91</v>
      </c>
      <c r="DB7" s="369" t="s">
        <v>91</v>
      </c>
      <c r="DC7" s="369" t="s">
        <v>92</v>
      </c>
      <c r="DD7" s="369" t="s">
        <v>91</v>
      </c>
      <c r="DE7" s="369" t="s">
        <v>92</v>
      </c>
      <c r="DF7" s="369" t="s">
        <v>91</v>
      </c>
      <c r="DG7" s="2032" t="s">
        <v>91</v>
      </c>
      <c r="DH7" s="369" t="s">
        <v>91</v>
      </c>
      <c r="DI7" s="2041" t="s">
        <v>91</v>
      </c>
      <c r="DJ7" s="369" t="s">
        <v>91</v>
      </c>
      <c r="DK7" s="369" t="s">
        <v>91</v>
      </c>
      <c r="DL7" s="2032" t="s">
        <v>91</v>
      </c>
      <c r="DM7" s="369" t="s">
        <v>91</v>
      </c>
      <c r="DN7" s="369" t="s">
        <v>92</v>
      </c>
      <c r="DO7" s="369" t="s">
        <v>92</v>
      </c>
      <c r="DP7" s="2032" t="s">
        <v>91</v>
      </c>
      <c r="DQ7" s="369" t="s">
        <v>91</v>
      </c>
      <c r="DR7" s="369" t="s">
        <v>91</v>
      </c>
      <c r="DS7" s="2032" t="s">
        <v>91</v>
      </c>
      <c r="DT7" s="369" t="s">
        <v>92</v>
      </c>
      <c r="DU7" s="369" t="s">
        <v>91</v>
      </c>
      <c r="DV7" s="369" t="s">
        <v>91</v>
      </c>
      <c r="DW7" s="369" t="s">
        <v>91</v>
      </c>
      <c r="DX7" s="2032" t="s">
        <v>91</v>
      </c>
      <c r="DY7" s="369" t="s">
        <v>91</v>
      </c>
      <c r="DZ7" s="369" t="s">
        <v>91</v>
      </c>
      <c r="EA7" s="369" t="s">
        <v>92</v>
      </c>
      <c r="EB7" s="369" t="s">
        <v>91</v>
      </c>
      <c r="EC7" s="369" t="s">
        <v>91</v>
      </c>
      <c r="ED7" s="369" t="s">
        <v>91</v>
      </c>
      <c r="EE7" s="2042" t="s">
        <v>91</v>
      </c>
      <c r="EF7" s="2043" t="s">
        <v>92</v>
      </c>
      <c r="EG7" s="2043" t="s">
        <v>92</v>
      </c>
      <c r="EH7" s="2044" t="s">
        <v>91</v>
      </c>
      <c r="EI7" s="2045" t="s">
        <v>91</v>
      </c>
    </row>
    <row r="8" ht="18.75" customHeight="1">
      <c r="A8" s="158"/>
      <c r="B8" s="135"/>
      <c r="C8" s="2046" t="s">
        <v>796</v>
      </c>
      <c r="D8" s="369" t="s">
        <v>92</v>
      </c>
      <c r="E8" s="369" t="s">
        <v>91</v>
      </c>
      <c r="F8" s="369" t="s">
        <v>91</v>
      </c>
      <c r="G8" s="369" t="s">
        <v>91</v>
      </c>
      <c r="H8" s="369" t="s">
        <v>91</v>
      </c>
      <c r="I8" s="2032" t="s">
        <v>61</v>
      </c>
      <c r="J8" s="369" t="s">
        <v>93</v>
      </c>
      <c r="K8" s="369" t="s">
        <v>93</v>
      </c>
      <c r="L8" s="369" t="s">
        <v>93</v>
      </c>
      <c r="M8" s="369" t="s">
        <v>93</v>
      </c>
      <c r="N8" s="369" t="s">
        <v>93</v>
      </c>
      <c r="O8" s="2032" t="s">
        <v>93</v>
      </c>
      <c r="P8" s="369" t="s">
        <v>92</v>
      </c>
      <c r="Q8" s="369" t="s">
        <v>92</v>
      </c>
      <c r="R8" s="369" t="s">
        <v>92</v>
      </c>
      <c r="S8" s="369" t="s">
        <v>92</v>
      </c>
      <c r="T8" s="369" t="s">
        <v>91</v>
      </c>
      <c r="U8" s="369" t="s">
        <v>91</v>
      </c>
      <c r="V8" s="369" t="s">
        <v>91</v>
      </c>
      <c r="W8" s="2032" t="s">
        <v>91</v>
      </c>
      <c r="X8" s="369" t="s">
        <v>92</v>
      </c>
      <c r="Y8" s="369" t="s">
        <v>92</v>
      </c>
      <c r="Z8" s="369" t="s">
        <v>91</v>
      </c>
      <c r="AA8" s="369" t="s">
        <v>91</v>
      </c>
      <c r="AB8" s="369" t="s">
        <v>91</v>
      </c>
      <c r="AC8" s="369" t="s">
        <v>92</v>
      </c>
      <c r="AD8" s="2032" t="s">
        <v>91</v>
      </c>
      <c r="AE8" s="369" t="s">
        <v>93</v>
      </c>
      <c r="AF8" s="369" t="s">
        <v>93</v>
      </c>
      <c r="AG8" s="369" t="s">
        <v>93</v>
      </c>
      <c r="AH8" s="369" t="s">
        <v>93</v>
      </c>
      <c r="AI8" s="369" t="s">
        <v>93</v>
      </c>
      <c r="AJ8" s="369" t="s">
        <v>93</v>
      </c>
      <c r="AK8" s="369" t="s">
        <v>93</v>
      </c>
      <c r="AL8" s="369" t="s">
        <v>93</v>
      </c>
      <c r="AM8" s="2032" t="s">
        <v>93</v>
      </c>
      <c r="AN8" s="369" t="s">
        <v>93</v>
      </c>
      <c r="AO8" s="369" t="s">
        <v>93</v>
      </c>
      <c r="AP8" s="2047" t="s">
        <v>93</v>
      </c>
      <c r="AQ8" s="2047" t="s">
        <v>93</v>
      </c>
      <c r="AR8" s="2047" t="s">
        <v>93</v>
      </c>
      <c r="AS8" s="2047" t="s">
        <v>93</v>
      </c>
      <c r="AT8" s="2047" t="s">
        <v>93</v>
      </c>
      <c r="AU8" s="2047" t="s">
        <v>93</v>
      </c>
      <c r="AV8" s="2048" t="s">
        <v>93</v>
      </c>
      <c r="AW8" s="2033" t="s">
        <v>1702</v>
      </c>
      <c r="AX8" s="369" t="s">
        <v>93</v>
      </c>
      <c r="AY8" s="369" t="s">
        <v>93</v>
      </c>
      <c r="AZ8" s="369" t="s">
        <v>93</v>
      </c>
      <c r="BA8" s="369" t="s">
        <v>93</v>
      </c>
      <c r="BB8" s="369" t="s">
        <v>93</v>
      </c>
      <c r="BC8" s="2032" t="s">
        <v>93</v>
      </c>
      <c r="BD8" s="2047" t="s">
        <v>93</v>
      </c>
      <c r="BE8" s="2047" t="s">
        <v>93</v>
      </c>
      <c r="BF8" s="2047" t="s">
        <v>93</v>
      </c>
      <c r="BG8" s="2047" t="s">
        <v>93</v>
      </c>
      <c r="BH8" s="2047" t="s">
        <v>93</v>
      </c>
      <c r="BI8" s="2047" t="s">
        <v>93</v>
      </c>
      <c r="BJ8" s="2047" t="s">
        <v>93</v>
      </c>
      <c r="BK8" s="369" t="s">
        <v>93</v>
      </c>
      <c r="BL8" s="369" t="s">
        <v>93</v>
      </c>
      <c r="BM8" s="369" t="s">
        <v>93</v>
      </c>
      <c r="BN8" s="369" t="s">
        <v>93</v>
      </c>
      <c r="BO8" s="369" t="s">
        <v>93</v>
      </c>
      <c r="BP8" s="369" t="s">
        <v>93</v>
      </c>
      <c r="BQ8" s="2032" t="s">
        <v>93</v>
      </c>
      <c r="BR8" s="2035" t="s">
        <v>93</v>
      </c>
      <c r="BS8" s="2036" t="s">
        <v>93</v>
      </c>
      <c r="BT8" s="2036" t="s">
        <v>93</v>
      </c>
      <c r="BU8" s="2036" t="s">
        <v>93</v>
      </c>
      <c r="BV8" s="2036" t="s">
        <v>93</v>
      </c>
      <c r="BW8" s="2036" t="s">
        <v>93</v>
      </c>
      <c r="BX8" s="2036" t="s">
        <v>93</v>
      </c>
      <c r="BY8" s="2036" t="s">
        <v>93</v>
      </c>
      <c r="BZ8" s="2036" t="s">
        <v>93</v>
      </c>
      <c r="CA8" s="2036" t="s">
        <v>93</v>
      </c>
      <c r="CB8" s="2036" t="s">
        <v>93</v>
      </c>
      <c r="CC8" s="2037" t="s">
        <v>93</v>
      </c>
      <c r="CD8" s="369" t="s">
        <v>93</v>
      </c>
      <c r="CE8" s="369" t="s">
        <v>93</v>
      </c>
      <c r="CF8" s="369" t="s">
        <v>93</v>
      </c>
      <c r="CG8" s="369" t="s">
        <v>93</v>
      </c>
      <c r="CH8" s="369" t="s">
        <v>93</v>
      </c>
      <c r="CI8" s="369" t="s">
        <v>93</v>
      </c>
      <c r="CJ8" s="369" t="s">
        <v>93</v>
      </c>
      <c r="CK8" s="369" t="s">
        <v>93</v>
      </c>
      <c r="CL8" s="369" t="s">
        <v>93</v>
      </c>
      <c r="CM8" s="2035" t="s">
        <v>93</v>
      </c>
      <c r="CN8" s="2036" t="s">
        <v>93</v>
      </c>
      <c r="CO8" s="2036" t="s">
        <v>93</v>
      </c>
      <c r="CP8" s="2036" t="s">
        <v>93</v>
      </c>
      <c r="CQ8" s="2036" t="s">
        <v>93</v>
      </c>
      <c r="CR8" s="2037" t="s">
        <v>93</v>
      </c>
      <c r="CS8" s="369" t="s">
        <v>93</v>
      </c>
      <c r="CT8" s="369" t="s">
        <v>93</v>
      </c>
      <c r="CU8" s="369" t="s">
        <v>93</v>
      </c>
      <c r="CV8" s="369" t="s">
        <v>93</v>
      </c>
      <c r="CW8" s="369" t="s">
        <v>93</v>
      </c>
      <c r="CX8" s="369" t="s">
        <v>93</v>
      </c>
      <c r="CY8" s="2032" t="s">
        <v>93</v>
      </c>
      <c r="CZ8" s="369" t="s">
        <v>93</v>
      </c>
      <c r="DA8" s="369" t="s">
        <v>93</v>
      </c>
      <c r="DB8" s="369" t="s">
        <v>93</v>
      </c>
      <c r="DC8" s="369" t="s">
        <v>93</v>
      </c>
      <c r="DD8" s="369" t="s">
        <v>93</v>
      </c>
      <c r="DE8" s="369" t="s">
        <v>93</v>
      </c>
      <c r="DF8" s="369" t="s">
        <v>93</v>
      </c>
      <c r="DG8" s="2032" t="s">
        <v>93</v>
      </c>
      <c r="DH8" s="369" t="s">
        <v>93</v>
      </c>
      <c r="DI8" s="369" t="s">
        <v>93</v>
      </c>
      <c r="DJ8" s="369" t="s">
        <v>93</v>
      </c>
      <c r="DK8" s="369" t="s">
        <v>93</v>
      </c>
      <c r="DL8" s="2032" t="s">
        <v>93</v>
      </c>
      <c r="DM8" s="369" t="s">
        <v>93</v>
      </c>
      <c r="DN8" s="369" t="s">
        <v>93</v>
      </c>
      <c r="DO8" s="369" t="s">
        <v>93</v>
      </c>
      <c r="DP8" s="2032" t="s">
        <v>93</v>
      </c>
      <c r="DQ8" s="369" t="s">
        <v>93</v>
      </c>
      <c r="DR8" s="369" t="s">
        <v>93</v>
      </c>
      <c r="DS8" s="2032" t="s">
        <v>93</v>
      </c>
      <c r="DT8" s="369" t="s">
        <v>118</v>
      </c>
      <c r="DU8" s="369" t="s">
        <v>118</v>
      </c>
      <c r="DV8" s="369" t="s">
        <v>118</v>
      </c>
      <c r="DW8" s="369" t="s">
        <v>118</v>
      </c>
      <c r="DX8" s="2032" t="s">
        <v>118</v>
      </c>
      <c r="DY8" s="369" t="s">
        <v>118</v>
      </c>
      <c r="DZ8" s="369" t="s">
        <v>118</v>
      </c>
      <c r="EA8" s="369" t="s">
        <v>118</v>
      </c>
      <c r="EB8" s="369" t="s">
        <v>118</v>
      </c>
      <c r="EC8" s="369" t="s">
        <v>118</v>
      </c>
      <c r="ED8" s="369" t="s">
        <v>118</v>
      </c>
      <c r="EE8" s="2049" t="s">
        <v>118</v>
      </c>
      <c r="EF8" s="369" t="s">
        <v>118</v>
      </c>
      <c r="EG8" s="369" t="s">
        <v>118</v>
      </c>
      <c r="EH8" s="369" t="s">
        <v>118</v>
      </c>
      <c r="EI8" s="2032" t="s">
        <v>118</v>
      </c>
    </row>
    <row r="9" ht="18.75" customHeight="1">
      <c r="A9" s="158"/>
      <c r="B9" s="135"/>
      <c r="C9" s="159" t="s">
        <v>94</v>
      </c>
      <c r="D9" s="369" t="s">
        <v>118</v>
      </c>
      <c r="E9" s="369" t="s">
        <v>118</v>
      </c>
      <c r="F9" s="369" t="s">
        <v>118</v>
      </c>
      <c r="G9" s="369" t="s">
        <v>118</v>
      </c>
      <c r="H9" s="369" t="s">
        <v>118</v>
      </c>
      <c r="I9" s="2032" t="s">
        <v>118</v>
      </c>
      <c r="J9" s="369" t="s">
        <v>118</v>
      </c>
      <c r="K9" s="369" t="s">
        <v>118</v>
      </c>
      <c r="L9" s="369" t="s">
        <v>118</v>
      </c>
      <c r="M9" s="369" t="s">
        <v>118</v>
      </c>
      <c r="N9" s="369" t="s">
        <v>118</v>
      </c>
      <c r="O9" s="2032" t="s">
        <v>118</v>
      </c>
      <c r="P9" s="369" t="s">
        <v>118</v>
      </c>
      <c r="Q9" s="369" t="s">
        <v>118</v>
      </c>
      <c r="R9" s="369" t="s">
        <v>118</v>
      </c>
      <c r="S9" s="369" t="s">
        <v>118</v>
      </c>
      <c r="T9" s="369" t="s">
        <v>118</v>
      </c>
      <c r="U9" s="369" t="s">
        <v>118</v>
      </c>
      <c r="V9" s="369" t="s">
        <v>118</v>
      </c>
      <c r="W9" s="2032" t="s">
        <v>118</v>
      </c>
      <c r="X9" s="369" t="s">
        <v>118</v>
      </c>
      <c r="Y9" s="369" t="s">
        <v>118</v>
      </c>
      <c r="Z9" s="369" t="s">
        <v>118</v>
      </c>
      <c r="AA9" s="369" t="s">
        <v>118</v>
      </c>
      <c r="AB9" s="369" t="s">
        <v>118</v>
      </c>
      <c r="AC9" s="369" t="s">
        <v>118</v>
      </c>
      <c r="AD9" s="2032" t="s">
        <v>118</v>
      </c>
      <c r="AE9" s="369" t="s">
        <v>118</v>
      </c>
      <c r="AF9" s="369" t="s">
        <v>118</v>
      </c>
      <c r="AG9" s="369" t="s">
        <v>118</v>
      </c>
      <c r="AH9" s="369" t="s">
        <v>118</v>
      </c>
      <c r="AI9" s="369" t="s">
        <v>118</v>
      </c>
      <c r="AJ9" s="369" t="s">
        <v>118</v>
      </c>
      <c r="AK9" s="369" t="s">
        <v>118</v>
      </c>
      <c r="AL9" s="369" t="s">
        <v>118</v>
      </c>
      <c r="AM9" s="2032" t="s">
        <v>118</v>
      </c>
      <c r="AN9" s="369" t="s">
        <v>118</v>
      </c>
      <c r="AO9" s="369" t="s">
        <v>118</v>
      </c>
      <c r="AP9" s="369" t="s">
        <v>118</v>
      </c>
      <c r="AQ9" s="369" t="s">
        <v>118</v>
      </c>
      <c r="AR9" s="369" t="s">
        <v>118</v>
      </c>
      <c r="AS9" s="369" t="s">
        <v>118</v>
      </c>
      <c r="AT9" s="369" t="s">
        <v>118</v>
      </c>
      <c r="AU9" s="369" t="s">
        <v>118</v>
      </c>
      <c r="AV9" s="2032" t="s">
        <v>118</v>
      </c>
      <c r="AW9" s="369" t="s">
        <v>118</v>
      </c>
      <c r="AX9" s="369" t="s">
        <v>118</v>
      </c>
      <c r="AY9" s="369" t="s">
        <v>118</v>
      </c>
      <c r="AZ9" s="369" t="s">
        <v>118</v>
      </c>
      <c r="BA9" s="369" t="s">
        <v>118</v>
      </c>
      <c r="BB9" s="369" t="s">
        <v>118</v>
      </c>
      <c r="BC9" s="2032" t="s">
        <v>118</v>
      </c>
      <c r="BD9" s="369" t="s">
        <v>118</v>
      </c>
      <c r="BE9" s="369" t="s">
        <v>118</v>
      </c>
      <c r="BF9" s="369" t="s">
        <v>118</v>
      </c>
      <c r="BG9" s="369" t="s">
        <v>118</v>
      </c>
      <c r="BH9" s="369" t="s">
        <v>118</v>
      </c>
      <c r="BI9" s="369" t="s">
        <v>118</v>
      </c>
      <c r="BJ9" s="369" t="s">
        <v>118</v>
      </c>
      <c r="BK9" s="369" t="s">
        <v>118</v>
      </c>
      <c r="BL9" s="369" t="s">
        <v>118</v>
      </c>
      <c r="BM9" s="369" t="s">
        <v>118</v>
      </c>
      <c r="BN9" s="369" t="s">
        <v>118</v>
      </c>
      <c r="BO9" s="369" t="s">
        <v>118</v>
      </c>
      <c r="BP9" s="369" t="s">
        <v>118</v>
      </c>
      <c r="BQ9" s="2032" t="s">
        <v>118</v>
      </c>
      <c r="BR9" s="2050" t="s">
        <v>118</v>
      </c>
      <c r="BS9" s="2051" t="s">
        <v>118</v>
      </c>
      <c r="BT9" s="2051" t="s">
        <v>118</v>
      </c>
      <c r="BU9" s="2051" t="s">
        <v>118</v>
      </c>
      <c r="BV9" s="2051" t="s">
        <v>118</v>
      </c>
      <c r="BW9" s="2051" t="s">
        <v>118</v>
      </c>
      <c r="BX9" s="2051" t="s">
        <v>118</v>
      </c>
      <c r="BY9" s="2051" t="s">
        <v>118</v>
      </c>
      <c r="BZ9" s="2051" t="s">
        <v>118</v>
      </c>
      <c r="CA9" s="2051" t="s">
        <v>118</v>
      </c>
      <c r="CB9" s="2051" t="s">
        <v>118</v>
      </c>
      <c r="CC9" s="2052" t="s">
        <v>118</v>
      </c>
      <c r="CD9" s="369" t="s">
        <v>118</v>
      </c>
      <c r="CE9" s="369" t="s">
        <v>118</v>
      </c>
      <c r="CF9" s="369" t="s">
        <v>118</v>
      </c>
      <c r="CG9" s="369" t="s">
        <v>118</v>
      </c>
      <c r="CH9" s="369" t="s">
        <v>118</v>
      </c>
      <c r="CI9" s="369" t="s">
        <v>118</v>
      </c>
      <c r="CJ9" s="369" t="s">
        <v>118</v>
      </c>
      <c r="CK9" s="369" t="s">
        <v>118</v>
      </c>
      <c r="CL9" s="369" t="s">
        <v>118</v>
      </c>
      <c r="CM9" s="2053" t="s">
        <v>118</v>
      </c>
      <c r="CN9" s="2054" t="s">
        <v>118</v>
      </c>
      <c r="CO9" s="2054" t="s">
        <v>118</v>
      </c>
      <c r="CP9" s="2054" t="s">
        <v>118</v>
      </c>
      <c r="CQ9" s="2054" t="s">
        <v>118</v>
      </c>
      <c r="CR9" s="2055" t="s">
        <v>118</v>
      </c>
      <c r="CS9" s="369" t="s">
        <v>118</v>
      </c>
      <c r="CT9" s="369" t="s">
        <v>118</v>
      </c>
      <c r="CU9" s="369" t="s">
        <v>118</v>
      </c>
      <c r="CV9" s="369" t="s">
        <v>118</v>
      </c>
      <c r="CW9" s="369" t="s">
        <v>118</v>
      </c>
      <c r="CX9" s="369" t="s">
        <v>118</v>
      </c>
      <c r="CY9" s="2032" t="s">
        <v>118</v>
      </c>
      <c r="CZ9" s="369" t="s">
        <v>118</v>
      </c>
      <c r="DA9" s="369" t="s">
        <v>118</v>
      </c>
      <c r="DB9" s="369" t="s">
        <v>118</v>
      </c>
      <c r="DC9" s="369" t="s">
        <v>118</v>
      </c>
      <c r="DD9" s="369" t="s">
        <v>118</v>
      </c>
      <c r="DE9" s="369" t="s">
        <v>118</v>
      </c>
      <c r="DF9" s="369" t="s">
        <v>118</v>
      </c>
      <c r="DG9" s="2032" t="s">
        <v>118</v>
      </c>
      <c r="DH9" s="369" t="s">
        <v>118</v>
      </c>
      <c r="DI9" s="369" t="s">
        <v>118</v>
      </c>
      <c r="DJ9" s="369" t="s">
        <v>118</v>
      </c>
      <c r="DK9" s="369" t="s">
        <v>118</v>
      </c>
      <c r="DL9" s="2032" t="s">
        <v>118</v>
      </c>
      <c r="DM9" s="369" t="s">
        <v>118</v>
      </c>
      <c r="DN9" s="369" t="s">
        <v>118</v>
      </c>
      <c r="DO9" s="369" t="s">
        <v>118</v>
      </c>
      <c r="DP9" s="2032" t="s">
        <v>118</v>
      </c>
      <c r="DQ9" s="369" t="s">
        <v>118</v>
      </c>
      <c r="DR9" s="369" t="s">
        <v>118</v>
      </c>
      <c r="DS9" s="2032" t="s">
        <v>118</v>
      </c>
      <c r="DT9" s="369" t="s">
        <v>92</v>
      </c>
      <c r="DU9" s="369" t="s">
        <v>91</v>
      </c>
      <c r="DV9" s="369" t="s">
        <v>91</v>
      </c>
      <c r="DW9" s="369" t="s">
        <v>91</v>
      </c>
      <c r="DX9" s="2032" t="s">
        <v>91</v>
      </c>
      <c r="DY9" s="369" t="s">
        <v>91</v>
      </c>
      <c r="DZ9" s="369" t="s">
        <v>91</v>
      </c>
      <c r="EA9" s="369" t="s">
        <v>92</v>
      </c>
      <c r="EB9" s="369" t="s">
        <v>91</v>
      </c>
      <c r="EC9" s="369" t="s">
        <v>91</v>
      </c>
      <c r="ED9" s="369" t="s">
        <v>91</v>
      </c>
      <c r="EE9" s="2042" t="s">
        <v>91</v>
      </c>
      <c r="EF9" s="2043" t="s">
        <v>92</v>
      </c>
      <c r="EG9" s="2043" t="s">
        <v>92</v>
      </c>
      <c r="EH9" s="2044" t="s">
        <v>91</v>
      </c>
      <c r="EI9" s="2045" t="s">
        <v>91</v>
      </c>
    </row>
    <row r="10" ht="18.75" customHeight="1">
      <c r="A10" s="158"/>
      <c r="B10" s="135"/>
      <c r="C10" s="2046" t="s">
        <v>930</v>
      </c>
      <c r="D10" s="369" t="s">
        <v>92</v>
      </c>
      <c r="E10" s="369" t="s">
        <v>91</v>
      </c>
      <c r="F10" s="369" t="s">
        <v>91</v>
      </c>
      <c r="G10" s="369" t="s">
        <v>91</v>
      </c>
      <c r="H10" s="369" t="s">
        <v>91</v>
      </c>
      <c r="I10" s="2032" t="s">
        <v>61</v>
      </c>
      <c r="J10" s="369" t="s">
        <v>92</v>
      </c>
      <c r="K10" s="369" t="s">
        <v>92</v>
      </c>
      <c r="L10" s="369" t="s">
        <v>92</v>
      </c>
      <c r="M10" s="369" t="s">
        <v>91</v>
      </c>
      <c r="N10" s="369" t="s">
        <v>91</v>
      </c>
      <c r="O10" s="2032" t="s">
        <v>92</v>
      </c>
      <c r="P10" s="369" t="s">
        <v>93</v>
      </c>
      <c r="Q10" s="369" t="s">
        <v>93</v>
      </c>
      <c r="R10" s="369" t="s">
        <v>93</v>
      </c>
      <c r="S10" s="369" t="s">
        <v>93</v>
      </c>
      <c r="T10" s="369" t="s">
        <v>93</v>
      </c>
      <c r="U10" s="369" t="s">
        <v>93</v>
      </c>
      <c r="V10" s="369" t="s">
        <v>93</v>
      </c>
      <c r="W10" s="2032" t="s">
        <v>93</v>
      </c>
      <c r="X10" s="369" t="s">
        <v>92</v>
      </c>
      <c r="Y10" s="369" t="s">
        <v>92</v>
      </c>
      <c r="Z10" s="369" t="s">
        <v>91</v>
      </c>
      <c r="AA10" s="369" t="s">
        <v>91</v>
      </c>
      <c r="AB10" s="369" t="s">
        <v>91</v>
      </c>
      <c r="AC10" s="369" t="s">
        <v>92</v>
      </c>
      <c r="AD10" s="2032" t="s">
        <v>91</v>
      </c>
      <c r="AE10" s="369" t="s">
        <v>93</v>
      </c>
      <c r="AF10" s="369" t="s">
        <v>93</v>
      </c>
      <c r="AG10" s="369" t="s">
        <v>93</v>
      </c>
      <c r="AH10" s="369" t="s">
        <v>93</v>
      </c>
      <c r="AI10" s="369" t="s">
        <v>93</v>
      </c>
      <c r="AJ10" s="369" t="s">
        <v>93</v>
      </c>
      <c r="AK10" s="369" t="s">
        <v>93</v>
      </c>
      <c r="AL10" s="369" t="s">
        <v>93</v>
      </c>
      <c r="AM10" s="2032" t="s">
        <v>93</v>
      </c>
      <c r="AN10" s="369" t="s">
        <v>1702</v>
      </c>
      <c r="AO10" s="369" t="s">
        <v>1703</v>
      </c>
      <c r="AP10" s="2033" t="s">
        <v>1702</v>
      </c>
      <c r="AQ10" s="2033" t="s">
        <v>1702</v>
      </c>
      <c r="AR10" s="2033" t="s">
        <v>1702</v>
      </c>
      <c r="AS10" s="2033" t="s">
        <v>1702</v>
      </c>
      <c r="AT10" s="2033" t="s">
        <v>1702</v>
      </c>
      <c r="AU10" s="2033" t="s">
        <v>1702</v>
      </c>
      <c r="AV10" s="2034" t="s">
        <v>1703</v>
      </c>
      <c r="AW10" s="2033" t="s">
        <v>1702</v>
      </c>
      <c r="AX10" s="369" t="s">
        <v>1702</v>
      </c>
      <c r="AY10" s="369" t="s">
        <v>1702</v>
      </c>
      <c r="AZ10" s="369" t="s">
        <v>1703</v>
      </c>
      <c r="BA10" s="369" t="s">
        <v>1702</v>
      </c>
      <c r="BB10" s="369" t="s">
        <v>1702</v>
      </c>
      <c r="BC10" s="2032" t="s">
        <v>1703</v>
      </c>
      <c r="BD10" s="2033" t="s">
        <v>92</v>
      </c>
      <c r="BE10" s="2033" t="s">
        <v>92</v>
      </c>
      <c r="BF10" s="369" t="s">
        <v>91</v>
      </c>
      <c r="BG10" s="369" t="s">
        <v>91</v>
      </c>
      <c r="BH10" s="369" t="s">
        <v>92</v>
      </c>
      <c r="BI10" s="2033" t="s">
        <v>91</v>
      </c>
      <c r="BJ10" s="2033" t="s">
        <v>92</v>
      </c>
      <c r="BK10" s="2033" t="s">
        <v>92</v>
      </c>
      <c r="BL10" s="2033" t="s">
        <v>92</v>
      </c>
      <c r="BM10" s="369" t="s">
        <v>91</v>
      </c>
      <c r="BN10" s="369" t="s">
        <v>91</v>
      </c>
      <c r="BO10" s="369" t="s">
        <v>92</v>
      </c>
      <c r="BP10" s="369" t="s">
        <v>91</v>
      </c>
      <c r="BQ10" s="2032" t="s">
        <v>91</v>
      </c>
      <c r="BR10" s="2035" t="s">
        <v>93</v>
      </c>
      <c r="BS10" s="2036" t="s">
        <v>93</v>
      </c>
      <c r="BT10" s="2036" t="s">
        <v>93</v>
      </c>
      <c r="BU10" s="2036" t="s">
        <v>93</v>
      </c>
      <c r="BV10" s="2036" t="s">
        <v>93</v>
      </c>
      <c r="BW10" s="2036" t="s">
        <v>93</v>
      </c>
      <c r="BX10" s="2036" t="s">
        <v>93</v>
      </c>
      <c r="BY10" s="2036" t="s">
        <v>93</v>
      </c>
      <c r="BZ10" s="2036" t="s">
        <v>93</v>
      </c>
      <c r="CA10" s="2036" t="s">
        <v>93</v>
      </c>
      <c r="CB10" s="2036" t="s">
        <v>93</v>
      </c>
      <c r="CC10" s="2037" t="s">
        <v>93</v>
      </c>
      <c r="CD10" s="369" t="s">
        <v>93</v>
      </c>
      <c r="CE10" s="369" t="s">
        <v>93</v>
      </c>
      <c r="CF10" s="369" t="s">
        <v>93</v>
      </c>
      <c r="CG10" s="369" t="s">
        <v>93</v>
      </c>
      <c r="CH10" s="369" t="s">
        <v>93</v>
      </c>
      <c r="CI10" s="369" t="s">
        <v>93</v>
      </c>
      <c r="CJ10" s="369" t="s">
        <v>93</v>
      </c>
      <c r="CK10" s="369" t="s">
        <v>93</v>
      </c>
      <c r="CL10" s="369" t="s">
        <v>93</v>
      </c>
      <c r="CM10" s="2035" t="s">
        <v>93</v>
      </c>
      <c r="CN10" s="2036" t="s">
        <v>93</v>
      </c>
      <c r="CO10" s="2036" t="s">
        <v>93</v>
      </c>
      <c r="CP10" s="2036" t="s">
        <v>93</v>
      </c>
      <c r="CQ10" s="2036" t="s">
        <v>93</v>
      </c>
      <c r="CR10" s="2037" t="s">
        <v>93</v>
      </c>
      <c r="CS10" s="369" t="s">
        <v>93</v>
      </c>
      <c r="CT10" s="369" t="s">
        <v>93</v>
      </c>
      <c r="CU10" s="369" t="s">
        <v>93</v>
      </c>
      <c r="CV10" s="369" t="s">
        <v>93</v>
      </c>
      <c r="CW10" s="369" t="s">
        <v>93</v>
      </c>
      <c r="CX10" s="369" t="s">
        <v>93</v>
      </c>
      <c r="CY10" s="2032" t="s">
        <v>93</v>
      </c>
      <c r="CZ10" s="369" t="s">
        <v>93</v>
      </c>
      <c r="DA10" s="369" t="s">
        <v>93</v>
      </c>
      <c r="DB10" s="369" t="s">
        <v>93</v>
      </c>
      <c r="DC10" s="369" t="s">
        <v>93</v>
      </c>
      <c r="DD10" s="369" t="s">
        <v>93</v>
      </c>
      <c r="DE10" s="369" t="s">
        <v>93</v>
      </c>
      <c r="DF10" s="369" t="s">
        <v>93</v>
      </c>
      <c r="DG10" s="2032" t="s">
        <v>93</v>
      </c>
      <c r="DH10" s="369" t="s">
        <v>93</v>
      </c>
      <c r="DI10" s="369" t="s">
        <v>93</v>
      </c>
      <c r="DJ10" s="369" t="s">
        <v>93</v>
      </c>
      <c r="DK10" s="369" t="s">
        <v>93</v>
      </c>
      <c r="DL10" s="2032" t="s">
        <v>93</v>
      </c>
      <c r="DM10" s="369" t="s">
        <v>118</v>
      </c>
      <c r="DN10" s="369" t="s">
        <v>118</v>
      </c>
      <c r="DO10" s="369" t="s">
        <v>118</v>
      </c>
      <c r="DP10" s="2032" t="s">
        <v>118</v>
      </c>
      <c r="DQ10" s="369" t="s">
        <v>118</v>
      </c>
      <c r="DR10" s="369" t="s">
        <v>118</v>
      </c>
      <c r="DS10" s="2032" t="s">
        <v>118</v>
      </c>
      <c r="DT10" s="369" t="s">
        <v>118</v>
      </c>
      <c r="DU10" s="369" t="s">
        <v>118</v>
      </c>
      <c r="DV10" s="369" t="s">
        <v>118</v>
      </c>
      <c r="DW10" s="369" t="s">
        <v>118</v>
      </c>
      <c r="DX10" s="2032" t="s">
        <v>118</v>
      </c>
      <c r="DY10" s="369" t="s">
        <v>118</v>
      </c>
      <c r="DZ10" s="369" t="s">
        <v>118</v>
      </c>
      <c r="EA10" s="369" t="s">
        <v>118</v>
      </c>
      <c r="EB10" s="369" t="s">
        <v>118</v>
      </c>
      <c r="EC10" s="369" t="s">
        <v>118</v>
      </c>
      <c r="ED10" s="369" t="s">
        <v>118</v>
      </c>
      <c r="EE10" s="2049" t="s">
        <v>118</v>
      </c>
      <c r="EF10" s="369" t="s">
        <v>118</v>
      </c>
      <c r="EG10" s="369" t="s">
        <v>118</v>
      </c>
      <c r="EH10" s="369" t="s">
        <v>118</v>
      </c>
      <c r="EI10" s="2032" t="s">
        <v>118</v>
      </c>
    </row>
    <row r="11" ht="18.75" customHeight="1">
      <c r="A11" s="158"/>
      <c r="B11" s="135"/>
      <c r="C11" s="159" t="s">
        <v>555</v>
      </c>
      <c r="D11" s="369" t="s">
        <v>118</v>
      </c>
      <c r="E11" s="369" t="s">
        <v>118</v>
      </c>
      <c r="F11" s="369" t="s">
        <v>118</v>
      </c>
      <c r="G11" s="369" t="s">
        <v>118</v>
      </c>
      <c r="H11" s="369" t="s">
        <v>118</v>
      </c>
      <c r="I11" s="2032" t="s">
        <v>118</v>
      </c>
      <c r="J11" s="369" t="s">
        <v>118</v>
      </c>
      <c r="K11" s="369" t="s">
        <v>118</v>
      </c>
      <c r="L11" s="369" t="s">
        <v>118</v>
      </c>
      <c r="M11" s="369" t="s">
        <v>118</v>
      </c>
      <c r="N11" s="369" t="s">
        <v>118</v>
      </c>
      <c r="O11" s="2032" t="s">
        <v>118</v>
      </c>
      <c r="P11" s="369" t="s">
        <v>118</v>
      </c>
      <c r="Q11" s="369" t="s">
        <v>118</v>
      </c>
      <c r="R11" s="369" t="s">
        <v>118</v>
      </c>
      <c r="S11" s="369" t="s">
        <v>118</v>
      </c>
      <c r="T11" s="369" t="s">
        <v>118</v>
      </c>
      <c r="U11" s="369" t="s">
        <v>118</v>
      </c>
      <c r="V11" s="369" t="s">
        <v>118</v>
      </c>
      <c r="W11" s="2032" t="s">
        <v>118</v>
      </c>
      <c r="X11" s="369" t="s">
        <v>118</v>
      </c>
      <c r="Y11" s="369" t="s">
        <v>118</v>
      </c>
      <c r="Z11" s="369" t="s">
        <v>118</v>
      </c>
      <c r="AA11" s="369" t="s">
        <v>118</v>
      </c>
      <c r="AB11" s="369" t="s">
        <v>118</v>
      </c>
      <c r="AC11" s="369" t="s">
        <v>118</v>
      </c>
      <c r="AD11" s="2032" t="s">
        <v>118</v>
      </c>
      <c r="AE11" s="369" t="s">
        <v>118</v>
      </c>
      <c r="AF11" s="369" t="s">
        <v>118</v>
      </c>
      <c r="AG11" s="369" t="s">
        <v>118</v>
      </c>
      <c r="AH11" s="369" t="s">
        <v>118</v>
      </c>
      <c r="AI11" s="369" t="s">
        <v>118</v>
      </c>
      <c r="AJ11" s="369" t="s">
        <v>118</v>
      </c>
      <c r="AK11" s="369" t="s">
        <v>118</v>
      </c>
      <c r="AL11" s="369" t="s">
        <v>118</v>
      </c>
      <c r="AM11" s="2032" t="s">
        <v>118</v>
      </c>
      <c r="AN11" s="369" t="s">
        <v>118</v>
      </c>
      <c r="AO11" s="369" t="s">
        <v>118</v>
      </c>
      <c r="AP11" s="369" t="s">
        <v>118</v>
      </c>
      <c r="AQ11" s="369" t="s">
        <v>118</v>
      </c>
      <c r="AR11" s="369" t="s">
        <v>118</v>
      </c>
      <c r="AS11" s="369" t="s">
        <v>118</v>
      </c>
      <c r="AT11" s="369" t="s">
        <v>118</v>
      </c>
      <c r="AU11" s="369" t="s">
        <v>118</v>
      </c>
      <c r="AV11" s="2032" t="s">
        <v>118</v>
      </c>
      <c r="AW11" s="369" t="s">
        <v>118</v>
      </c>
      <c r="AX11" s="369" t="s">
        <v>118</v>
      </c>
      <c r="AY11" s="369" t="s">
        <v>118</v>
      </c>
      <c r="AZ11" s="369" t="s">
        <v>118</v>
      </c>
      <c r="BA11" s="369" t="s">
        <v>118</v>
      </c>
      <c r="BB11" s="369" t="s">
        <v>118</v>
      </c>
      <c r="BC11" s="2032" t="s">
        <v>118</v>
      </c>
      <c r="BD11" s="369" t="s">
        <v>118</v>
      </c>
      <c r="BE11" s="369" t="s">
        <v>118</v>
      </c>
      <c r="BF11" s="369" t="s">
        <v>118</v>
      </c>
      <c r="BG11" s="369" t="s">
        <v>118</v>
      </c>
      <c r="BH11" s="369" t="s">
        <v>118</v>
      </c>
      <c r="BI11" s="369" t="s">
        <v>118</v>
      </c>
      <c r="BJ11" s="369" t="s">
        <v>118</v>
      </c>
      <c r="BK11" s="369" t="s">
        <v>118</v>
      </c>
      <c r="BL11" s="369" t="s">
        <v>118</v>
      </c>
      <c r="BM11" s="369" t="s">
        <v>118</v>
      </c>
      <c r="BN11" s="369" t="s">
        <v>118</v>
      </c>
      <c r="BO11" s="369" t="s">
        <v>118</v>
      </c>
      <c r="BP11" s="369" t="s">
        <v>118</v>
      </c>
      <c r="BQ11" s="2032" t="s">
        <v>118</v>
      </c>
      <c r="BR11" s="2050" t="s">
        <v>118</v>
      </c>
      <c r="BS11" s="2051" t="s">
        <v>118</v>
      </c>
      <c r="BT11" s="2051" t="s">
        <v>118</v>
      </c>
      <c r="BU11" s="2051" t="s">
        <v>118</v>
      </c>
      <c r="BV11" s="2051" t="s">
        <v>118</v>
      </c>
      <c r="BW11" s="2051" t="s">
        <v>118</v>
      </c>
      <c r="BX11" s="2051" t="s">
        <v>118</v>
      </c>
      <c r="BY11" s="2051" t="s">
        <v>118</v>
      </c>
      <c r="BZ11" s="2051" t="s">
        <v>118</v>
      </c>
      <c r="CA11" s="2051" t="s">
        <v>118</v>
      </c>
      <c r="CB11" s="2051" t="s">
        <v>118</v>
      </c>
      <c r="CC11" s="2052" t="s">
        <v>118</v>
      </c>
      <c r="CD11" s="369" t="s">
        <v>118</v>
      </c>
      <c r="CE11" s="369" t="s">
        <v>118</v>
      </c>
      <c r="CF11" s="369" t="s">
        <v>118</v>
      </c>
      <c r="CG11" s="369" t="s">
        <v>118</v>
      </c>
      <c r="CH11" s="369" t="s">
        <v>118</v>
      </c>
      <c r="CI11" s="369" t="s">
        <v>118</v>
      </c>
      <c r="CJ11" s="369" t="s">
        <v>118</v>
      </c>
      <c r="CK11" s="369" t="s">
        <v>118</v>
      </c>
      <c r="CL11" s="369" t="s">
        <v>118</v>
      </c>
      <c r="CM11" s="2053" t="s">
        <v>118</v>
      </c>
      <c r="CN11" s="2054" t="s">
        <v>118</v>
      </c>
      <c r="CO11" s="2054" t="s">
        <v>118</v>
      </c>
      <c r="CP11" s="2054" t="s">
        <v>118</v>
      </c>
      <c r="CQ11" s="2054" t="s">
        <v>118</v>
      </c>
      <c r="CR11" s="2055" t="s">
        <v>118</v>
      </c>
      <c r="CS11" s="369" t="s">
        <v>118</v>
      </c>
      <c r="CT11" s="369" t="s">
        <v>118</v>
      </c>
      <c r="CU11" s="369" t="s">
        <v>118</v>
      </c>
      <c r="CV11" s="369" t="s">
        <v>118</v>
      </c>
      <c r="CW11" s="369" t="s">
        <v>118</v>
      </c>
      <c r="CX11" s="369" t="s">
        <v>118</v>
      </c>
      <c r="CY11" s="2032" t="s">
        <v>118</v>
      </c>
      <c r="CZ11" s="369" t="s">
        <v>118</v>
      </c>
      <c r="DA11" s="369" t="s">
        <v>118</v>
      </c>
      <c r="DB11" s="369" t="s">
        <v>118</v>
      </c>
      <c r="DC11" s="369" t="s">
        <v>118</v>
      </c>
      <c r="DD11" s="369" t="s">
        <v>118</v>
      </c>
      <c r="DE11" s="369" t="s">
        <v>118</v>
      </c>
      <c r="DF11" s="369" t="s">
        <v>118</v>
      </c>
      <c r="DG11" s="2032" t="s">
        <v>118</v>
      </c>
      <c r="DH11" s="369" t="s">
        <v>118</v>
      </c>
      <c r="DI11" s="369" t="s">
        <v>118</v>
      </c>
      <c r="DJ11" s="369" t="s">
        <v>118</v>
      </c>
      <c r="DK11" s="369" t="s">
        <v>118</v>
      </c>
      <c r="DL11" s="2032" t="s">
        <v>118</v>
      </c>
      <c r="DM11" s="369" t="s">
        <v>91</v>
      </c>
      <c r="DN11" s="369" t="s">
        <v>92</v>
      </c>
      <c r="DO11" s="369" t="s">
        <v>92</v>
      </c>
      <c r="DP11" s="2032" t="s">
        <v>91</v>
      </c>
      <c r="DQ11" s="369" t="s">
        <v>91</v>
      </c>
      <c r="DR11" s="369" t="s">
        <v>91</v>
      </c>
      <c r="DS11" s="2032" t="s">
        <v>91</v>
      </c>
      <c r="DT11" s="369" t="s">
        <v>92</v>
      </c>
      <c r="DU11" s="369" t="s">
        <v>91</v>
      </c>
      <c r="DV11" s="369" t="s">
        <v>91</v>
      </c>
      <c r="DW11" s="369" t="s">
        <v>91</v>
      </c>
      <c r="DX11" s="2032" t="s">
        <v>91</v>
      </c>
      <c r="DY11" s="369" t="s">
        <v>91</v>
      </c>
      <c r="DZ11" s="369" t="s">
        <v>91</v>
      </c>
      <c r="EA11" s="369" t="s">
        <v>92</v>
      </c>
      <c r="EB11" s="369" t="s">
        <v>91</v>
      </c>
      <c r="EC11" s="369" t="s">
        <v>91</v>
      </c>
      <c r="ED11" s="369" t="s">
        <v>91</v>
      </c>
      <c r="EE11" s="2042" t="s">
        <v>91</v>
      </c>
      <c r="EF11" s="2043" t="s">
        <v>92</v>
      </c>
      <c r="EG11" s="2043" t="s">
        <v>92</v>
      </c>
      <c r="EH11" s="2044" t="s">
        <v>91</v>
      </c>
      <c r="EI11" s="2045" t="s">
        <v>91</v>
      </c>
    </row>
    <row r="12" ht="18.75" customHeight="1">
      <c r="A12" s="158"/>
      <c r="B12" s="135"/>
      <c r="C12" s="2046" t="s">
        <v>182</v>
      </c>
      <c r="D12" s="369" t="s">
        <v>92</v>
      </c>
      <c r="E12" s="369" t="s">
        <v>91</v>
      </c>
      <c r="F12" s="369" t="s">
        <v>91</v>
      </c>
      <c r="G12" s="369" t="s">
        <v>91</v>
      </c>
      <c r="H12" s="369" t="s">
        <v>91</v>
      </c>
      <c r="I12" s="2032" t="s">
        <v>61</v>
      </c>
      <c r="J12" s="369" t="s">
        <v>92</v>
      </c>
      <c r="K12" s="369" t="s">
        <v>92</v>
      </c>
      <c r="L12" s="369" t="s">
        <v>92</v>
      </c>
      <c r="M12" s="369" t="s">
        <v>91</v>
      </c>
      <c r="N12" s="369" t="s">
        <v>91</v>
      </c>
      <c r="O12" s="2032" t="s">
        <v>92</v>
      </c>
      <c r="P12" s="369" t="s">
        <v>92</v>
      </c>
      <c r="Q12" s="369" t="s">
        <v>92</v>
      </c>
      <c r="R12" s="369" t="s">
        <v>92</v>
      </c>
      <c r="S12" s="369" t="s">
        <v>92</v>
      </c>
      <c r="T12" s="369" t="s">
        <v>91</v>
      </c>
      <c r="U12" s="369" t="s">
        <v>91</v>
      </c>
      <c r="V12" s="369" t="s">
        <v>91</v>
      </c>
      <c r="W12" s="2032" t="s">
        <v>92</v>
      </c>
      <c r="X12" s="369" t="s">
        <v>92</v>
      </c>
      <c r="Y12" s="369" t="s">
        <v>92</v>
      </c>
      <c r="Z12" s="369" t="s">
        <v>91</v>
      </c>
      <c r="AA12" s="369" t="s">
        <v>91</v>
      </c>
      <c r="AB12" s="369" t="s">
        <v>91</v>
      </c>
      <c r="AC12" s="369" t="s">
        <v>92</v>
      </c>
      <c r="AD12" s="2032" t="s">
        <v>91</v>
      </c>
      <c r="AE12" s="369" t="s">
        <v>92</v>
      </c>
      <c r="AF12" s="369" t="s">
        <v>92</v>
      </c>
      <c r="AG12" s="369" t="s">
        <v>91</v>
      </c>
      <c r="AH12" s="369" t="s">
        <v>117</v>
      </c>
      <c r="AI12" s="369" t="s">
        <v>92</v>
      </c>
      <c r="AJ12" s="369" t="s">
        <v>91</v>
      </c>
      <c r="AK12" s="369" t="s">
        <v>91</v>
      </c>
      <c r="AL12" s="369" t="s">
        <v>91</v>
      </c>
      <c r="AM12" s="2032" t="s">
        <v>91</v>
      </c>
      <c r="AN12" s="369" t="s">
        <v>1702</v>
      </c>
      <c r="AO12" s="369" t="s">
        <v>1702</v>
      </c>
      <c r="AP12" s="2033" t="s">
        <v>1702</v>
      </c>
      <c r="AQ12" s="2033" t="s">
        <v>117</v>
      </c>
      <c r="AR12" s="2033" t="s">
        <v>1702</v>
      </c>
      <c r="AS12" s="2033" t="s">
        <v>1702</v>
      </c>
      <c r="AT12" s="2033" t="s">
        <v>1703</v>
      </c>
      <c r="AU12" s="2033" t="s">
        <v>1703</v>
      </c>
      <c r="AV12" s="2034" t="s">
        <v>1703</v>
      </c>
      <c r="AW12" s="2033" t="s">
        <v>1702</v>
      </c>
      <c r="AX12" s="369" t="s">
        <v>1703</v>
      </c>
      <c r="AY12" s="369" t="s">
        <v>1703</v>
      </c>
      <c r="AZ12" s="369" t="s">
        <v>1702</v>
      </c>
      <c r="BA12" s="369" t="s">
        <v>1703</v>
      </c>
      <c r="BB12" s="369" t="s">
        <v>1703</v>
      </c>
      <c r="BC12" s="2032" t="s">
        <v>1703</v>
      </c>
      <c r="BD12" s="2033" t="s">
        <v>92</v>
      </c>
      <c r="BE12" s="2033" t="s">
        <v>92</v>
      </c>
      <c r="BF12" s="2033" t="s">
        <v>91</v>
      </c>
      <c r="BG12" s="2033" t="s">
        <v>92</v>
      </c>
      <c r="BH12" s="2033" t="s">
        <v>92</v>
      </c>
      <c r="BI12" s="2033" t="s">
        <v>92</v>
      </c>
      <c r="BJ12" s="2033" t="s">
        <v>91</v>
      </c>
      <c r="BK12" s="2033" t="s">
        <v>92</v>
      </c>
      <c r="BL12" s="2033" t="s">
        <v>92</v>
      </c>
      <c r="BM12" s="369" t="s">
        <v>91</v>
      </c>
      <c r="BN12" s="369" t="s">
        <v>91</v>
      </c>
      <c r="BO12" s="369" t="s">
        <v>92</v>
      </c>
      <c r="BP12" s="369" t="s">
        <v>91</v>
      </c>
      <c r="BQ12" s="2032" t="s">
        <v>91</v>
      </c>
      <c r="BR12" s="2056" t="s">
        <v>91</v>
      </c>
      <c r="BS12" s="2057" t="s">
        <v>92</v>
      </c>
      <c r="BT12" s="2057" t="s">
        <v>92</v>
      </c>
      <c r="BU12" s="2057" t="s">
        <v>91</v>
      </c>
      <c r="BV12" s="2057" t="s">
        <v>92</v>
      </c>
      <c r="BW12" s="2057" t="s">
        <v>92</v>
      </c>
      <c r="BX12" s="2057" t="s">
        <v>91</v>
      </c>
      <c r="BY12" s="2057" t="s">
        <v>91</v>
      </c>
      <c r="BZ12" s="2057" t="s">
        <v>92</v>
      </c>
      <c r="CA12" s="2057" t="s">
        <v>91</v>
      </c>
      <c r="CB12" s="2057" t="s">
        <v>91</v>
      </c>
      <c r="CC12" s="2058" t="s">
        <v>92</v>
      </c>
      <c r="CD12" s="369" t="s">
        <v>1703</v>
      </c>
      <c r="CE12" s="369" t="s">
        <v>1702</v>
      </c>
      <c r="CF12" s="369" t="s">
        <v>1702</v>
      </c>
      <c r="CG12" s="369" t="s">
        <v>1703</v>
      </c>
      <c r="CH12" s="369" t="s">
        <v>1702</v>
      </c>
      <c r="CI12" s="369" t="s">
        <v>1703</v>
      </c>
      <c r="CJ12" s="369" t="s">
        <v>1702</v>
      </c>
      <c r="CK12" s="369" t="s">
        <v>1702</v>
      </c>
      <c r="CL12" s="369" t="s">
        <v>1703</v>
      </c>
      <c r="CM12" s="2053" t="s">
        <v>118</v>
      </c>
      <c r="CN12" s="2054" t="s">
        <v>118</v>
      </c>
      <c r="CO12" s="2054" t="s">
        <v>118</v>
      </c>
      <c r="CP12" s="2054" t="s">
        <v>118</v>
      </c>
      <c r="CQ12" s="2054" t="s">
        <v>118</v>
      </c>
      <c r="CR12" s="2055" t="s">
        <v>118</v>
      </c>
      <c r="CS12" s="369" t="s">
        <v>118</v>
      </c>
      <c r="CT12" s="369" t="s">
        <v>118</v>
      </c>
      <c r="CU12" s="369" t="s">
        <v>118</v>
      </c>
      <c r="CV12" s="369" t="s">
        <v>118</v>
      </c>
      <c r="CW12" s="369" t="s">
        <v>118</v>
      </c>
      <c r="CX12" s="369" t="s">
        <v>118</v>
      </c>
      <c r="CY12" s="2032" t="s">
        <v>118</v>
      </c>
      <c r="CZ12" s="369" t="s">
        <v>118</v>
      </c>
      <c r="DA12" s="369" t="s">
        <v>118</v>
      </c>
      <c r="DB12" s="369" t="s">
        <v>118</v>
      </c>
      <c r="DC12" s="369" t="s">
        <v>118</v>
      </c>
      <c r="DD12" s="369" t="s">
        <v>118</v>
      </c>
      <c r="DE12" s="369" t="s">
        <v>118</v>
      </c>
      <c r="DF12" s="369" t="s">
        <v>118</v>
      </c>
      <c r="DG12" s="2032" t="s">
        <v>118</v>
      </c>
      <c r="DH12" s="369" t="s">
        <v>118</v>
      </c>
      <c r="DI12" s="369" t="s">
        <v>118</v>
      </c>
      <c r="DJ12" s="369" t="s">
        <v>118</v>
      </c>
      <c r="DK12" s="369" t="s">
        <v>118</v>
      </c>
      <c r="DL12" s="2032" t="s">
        <v>118</v>
      </c>
      <c r="DM12" s="369" t="s">
        <v>118</v>
      </c>
      <c r="DN12" s="369" t="s">
        <v>118</v>
      </c>
      <c r="DO12" s="369" t="s">
        <v>118</v>
      </c>
      <c r="DP12" s="2032" t="s">
        <v>118</v>
      </c>
      <c r="DQ12" s="369" t="s">
        <v>118</v>
      </c>
      <c r="DR12" s="369" t="s">
        <v>118</v>
      </c>
      <c r="DS12" s="2032" t="s">
        <v>118</v>
      </c>
      <c r="DT12" s="369" t="s">
        <v>118</v>
      </c>
      <c r="DU12" s="369" t="s">
        <v>118</v>
      </c>
      <c r="DV12" s="369" t="s">
        <v>118</v>
      </c>
      <c r="DW12" s="369" t="s">
        <v>118</v>
      </c>
      <c r="DX12" s="2032" t="s">
        <v>118</v>
      </c>
      <c r="DY12" s="369" t="s">
        <v>118</v>
      </c>
      <c r="DZ12" s="369" t="s">
        <v>118</v>
      </c>
      <c r="EA12" s="369" t="s">
        <v>118</v>
      </c>
      <c r="EB12" s="369" t="s">
        <v>118</v>
      </c>
      <c r="EC12" s="369" t="s">
        <v>118</v>
      </c>
      <c r="ED12" s="369" t="s">
        <v>118</v>
      </c>
      <c r="EE12" s="2049" t="s">
        <v>118</v>
      </c>
      <c r="EF12" s="369" t="s">
        <v>118</v>
      </c>
      <c r="EG12" s="369" t="s">
        <v>118</v>
      </c>
      <c r="EH12" s="369" t="s">
        <v>118</v>
      </c>
      <c r="EI12" s="2032" t="s">
        <v>118</v>
      </c>
    </row>
    <row r="13" ht="18.75" customHeight="1">
      <c r="A13" s="158"/>
      <c r="B13" s="135"/>
      <c r="C13" s="159" t="s">
        <v>1018</v>
      </c>
      <c r="D13" s="369" t="s">
        <v>118</v>
      </c>
      <c r="E13" s="369" t="s">
        <v>118</v>
      </c>
      <c r="F13" s="369" t="s">
        <v>118</v>
      </c>
      <c r="G13" s="369" t="s">
        <v>118</v>
      </c>
      <c r="H13" s="369" t="s">
        <v>118</v>
      </c>
      <c r="I13" s="2032" t="s">
        <v>118</v>
      </c>
      <c r="J13" s="369" t="s">
        <v>118</v>
      </c>
      <c r="K13" s="369" t="s">
        <v>118</v>
      </c>
      <c r="L13" s="369" t="s">
        <v>118</v>
      </c>
      <c r="M13" s="369" t="s">
        <v>118</v>
      </c>
      <c r="N13" s="369" t="s">
        <v>118</v>
      </c>
      <c r="O13" s="2032" t="s">
        <v>118</v>
      </c>
      <c r="P13" s="369" t="s">
        <v>118</v>
      </c>
      <c r="Q13" s="369" t="s">
        <v>118</v>
      </c>
      <c r="R13" s="369" t="s">
        <v>118</v>
      </c>
      <c r="S13" s="369" t="s">
        <v>118</v>
      </c>
      <c r="T13" s="369" t="s">
        <v>118</v>
      </c>
      <c r="U13" s="369" t="s">
        <v>118</v>
      </c>
      <c r="V13" s="369" t="s">
        <v>118</v>
      </c>
      <c r="W13" s="2032" t="s">
        <v>118</v>
      </c>
      <c r="X13" s="369" t="s">
        <v>118</v>
      </c>
      <c r="Y13" s="369" t="s">
        <v>118</v>
      </c>
      <c r="Z13" s="369" t="s">
        <v>118</v>
      </c>
      <c r="AA13" s="369" t="s">
        <v>118</v>
      </c>
      <c r="AB13" s="369" t="s">
        <v>118</v>
      </c>
      <c r="AC13" s="369" t="s">
        <v>118</v>
      </c>
      <c r="AD13" s="2032" t="s">
        <v>118</v>
      </c>
      <c r="AE13" s="369" t="s">
        <v>118</v>
      </c>
      <c r="AF13" s="369" t="s">
        <v>118</v>
      </c>
      <c r="AG13" s="369" t="s">
        <v>118</v>
      </c>
      <c r="AH13" s="369" t="s">
        <v>118</v>
      </c>
      <c r="AI13" s="369" t="s">
        <v>118</v>
      </c>
      <c r="AJ13" s="369" t="s">
        <v>118</v>
      </c>
      <c r="AK13" s="369" t="s">
        <v>118</v>
      </c>
      <c r="AL13" s="369" t="s">
        <v>118</v>
      </c>
      <c r="AM13" s="2032" t="s">
        <v>118</v>
      </c>
      <c r="AN13" s="369" t="s">
        <v>118</v>
      </c>
      <c r="AO13" s="369" t="s">
        <v>118</v>
      </c>
      <c r="AP13" s="369" t="s">
        <v>118</v>
      </c>
      <c r="AQ13" s="369" t="s">
        <v>118</v>
      </c>
      <c r="AR13" s="369" t="s">
        <v>118</v>
      </c>
      <c r="AS13" s="369" t="s">
        <v>118</v>
      </c>
      <c r="AT13" s="369" t="s">
        <v>118</v>
      </c>
      <c r="AU13" s="369" t="s">
        <v>118</v>
      </c>
      <c r="AV13" s="2032" t="s">
        <v>118</v>
      </c>
      <c r="AW13" s="369" t="s">
        <v>118</v>
      </c>
      <c r="AX13" s="369" t="s">
        <v>118</v>
      </c>
      <c r="AY13" s="369" t="s">
        <v>118</v>
      </c>
      <c r="AZ13" s="369" t="s">
        <v>118</v>
      </c>
      <c r="BA13" s="369" t="s">
        <v>118</v>
      </c>
      <c r="BB13" s="369" t="s">
        <v>118</v>
      </c>
      <c r="BC13" s="2032" t="s">
        <v>118</v>
      </c>
      <c r="BD13" s="369" t="s">
        <v>118</v>
      </c>
      <c r="BE13" s="369" t="s">
        <v>118</v>
      </c>
      <c r="BF13" s="369" t="s">
        <v>118</v>
      </c>
      <c r="BG13" s="369" t="s">
        <v>118</v>
      </c>
      <c r="BH13" s="369" t="s">
        <v>118</v>
      </c>
      <c r="BI13" s="369" t="s">
        <v>118</v>
      </c>
      <c r="BJ13" s="369" t="s">
        <v>118</v>
      </c>
      <c r="BK13" s="369" t="s">
        <v>118</v>
      </c>
      <c r="BL13" s="369" t="s">
        <v>118</v>
      </c>
      <c r="BM13" s="369" t="s">
        <v>118</v>
      </c>
      <c r="BN13" s="369" t="s">
        <v>118</v>
      </c>
      <c r="BO13" s="369" t="s">
        <v>118</v>
      </c>
      <c r="BP13" s="369" t="s">
        <v>118</v>
      </c>
      <c r="BQ13" s="2032" t="s">
        <v>118</v>
      </c>
      <c r="BR13" s="2050" t="s">
        <v>118</v>
      </c>
      <c r="BS13" s="2051" t="s">
        <v>118</v>
      </c>
      <c r="BT13" s="2051" t="s">
        <v>118</v>
      </c>
      <c r="BU13" s="2051" t="s">
        <v>118</v>
      </c>
      <c r="BV13" s="2051" t="s">
        <v>118</v>
      </c>
      <c r="BW13" s="2051" t="s">
        <v>118</v>
      </c>
      <c r="BX13" s="2051" t="s">
        <v>118</v>
      </c>
      <c r="BY13" s="2051" t="s">
        <v>118</v>
      </c>
      <c r="BZ13" s="2051" t="s">
        <v>118</v>
      </c>
      <c r="CA13" s="2051" t="s">
        <v>118</v>
      </c>
      <c r="CB13" s="2051" t="s">
        <v>118</v>
      </c>
      <c r="CC13" s="2052" t="s">
        <v>118</v>
      </c>
      <c r="CD13" s="369" t="s">
        <v>118</v>
      </c>
      <c r="CE13" s="369" t="s">
        <v>118</v>
      </c>
      <c r="CF13" s="369" t="s">
        <v>118</v>
      </c>
      <c r="CG13" s="369" t="s">
        <v>118</v>
      </c>
      <c r="CH13" s="369" t="s">
        <v>118</v>
      </c>
      <c r="CI13" s="369" t="s">
        <v>118</v>
      </c>
      <c r="CJ13" s="369" t="s">
        <v>118</v>
      </c>
      <c r="CK13" s="369" t="s">
        <v>118</v>
      </c>
      <c r="CL13" s="369" t="s">
        <v>118</v>
      </c>
      <c r="CM13" s="2038" t="s">
        <v>91</v>
      </c>
      <c r="CN13" s="2039" t="s">
        <v>91</v>
      </c>
      <c r="CO13" s="2039" t="s">
        <v>91</v>
      </c>
      <c r="CP13" s="2039" t="s">
        <v>91</v>
      </c>
      <c r="CQ13" s="2039" t="s">
        <v>91</v>
      </c>
      <c r="CR13" s="2040" t="s">
        <v>92</v>
      </c>
      <c r="CS13" s="369" t="s">
        <v>91</v>
      </c>
      <c r="CT13" s="369" t="s">
        <v>91</v>
      </c>
      <c r="CU13" s="369" t="s">
        <v>92</v>
      </c>
      <c r="CV13" s="369" t="s">
        <v>91</v>
      </c>
      <c r="CW13" s="369" t="s">
        <v>92</v>
      </c>
      <c r="CX13" s="369" t="s">
        <v>91</v>
      </c>
      <c r="CY13" s="2032" t="s">
        <v>91</v>
      </c>
      <c r="CZ13" s="369" t="s">
        <v>91</v>
      </c>
      <c r="DA13" s="369" t="s">
        <v>91</v>
      </c>
      <c r="DB13" s="369" t="s">
        <v>91</v>
      </c>
      <c r="DC13" s="369" t="s">
        <v>92</v>
      </c>
      <c r="DD13" s="369" t="s">
        <v>91</v>
      </c>
      <c r="DE13" s="369" t="s">
        <v>92</v>
      </c>
      <c r="DF13" s="369" t="s">
        <v>91</v>
      </c>
      <c r="DG13" s="2032" t="s">
        <v>91</v>
      </c>
      <c r="DH13" s="369" t="s">
        <v>91</v>
      </c>
      <c r="DI13" s="369" t="s">
        <v>91</v>
      </c>
      <c r="DJ13" s="369" t="s">
        <v>91</v>
      </c>
      <c r="DK13" s="369" t="s">
        <v>91</v>
      </c>
      <c r="DL13" s="2032" t="s">
        <v>91</v>
      </c>
      <c r="DM13" s="369" t="s">
        <v>93</v>
      </c>
      <c r="DN13" s="369" t="s">
        <v>93</v>
      </c>
      <c r="DO13" s="369" t="s">
        <v>93</v>
      </c>
      <c r="DP13" s="2032" t="s">
        <v>93</v>
      </c>
      <c r="DQ13" s="369" t="s">
        <v>93</v>
      </c>
      <c r="DR13" s="369" t="s">
        <v>93</v>
      </c>
      <c r="DS13" s="2032" t="s">
        <v>93</v>
      </c>
      <c r="DT13" s="369" t="s">
        <v>92</v>
      </c>
      <c r="DU13" s="369" t="s">
        <v>91</v>
      </c>
      <c r="DV13" s="369" t="s">
        <v>91</v>
      </c>
      <c r="DW13" s="369" t="s">
        <v>91</v>
      </c>
      <c r="DX13" s="2032" t="s">
        <v>91</v>
      </c>
      <c r="DY13" s="369" t="s">
        <v>93</v>
      </c>
      <c r="DZ13" s="369" t="s">
        <v>93</v>
      </c>
      <c r="EA13" s="369" t="s">
        <v>93</v>
      </c>
      <c r="EB13" s="369" t="s">
        <v>93</v>
      </c>
      <c r="EC13" s="369" t="s">
        <v>93</v>
      </c>
      <c r="ED13" s="369" t="s">
        <v>93</v>
      </c>
      <c r="EE13" s="2059" t="s">
        <v>93</v>
      </c>
      <c r="EF13" s="2060" t="s">
        <v>93</v>
      </c>
      <c r="EG13" s="2060" t="s">
        <v>93</v>
      </c>
      <c r="EH13" s="2060" t="s">
        <v>93</v>
      </c>
      <c r="EI13" s="2061" t="s">
        <v>93</v>
      </c>
    </row>
    <row r="14" ht="18.75" customHeight="1">
      <c r="A14" s="158"/>
      <c r="B14" s="135"/>
      <c r="C14" s="2046" t="s">
        <v>176</v>
      </c>
      <c r="D14" s="369" t="s">
        <v>92</v>
      </c>
      <c r="E14" s="369" t="s">
        <v>91</v>
      </c>
      <c r="F14" s="369" t="s">
        <v>91</v>
      </c>
      <c r="G14" s="369" t="s">
        <v>91</v>
      </c>
      <c r="H14" s="369" t="s">
        <v>91</v>
      </c>
      <c r="I14" s="2032" t="s">
        <v>61</v>
      </c>
      <c r="J14" s="369" t="s">
        <v>92</v>
      </c>
      <c r="K14" s="369" t="s">
        <v>92</v>
      </c>
      <c r="L14" s="369" t="s">
        <v>92</v>
      </c>
      <c r="M14" s="369" t="s">
        <v>91</v>
      </c>
      <c r="N14" s="369" t="s">
        <v>91</v>
      </c>
      <c r="O14" s="2032" t="s">
        <v>92</v>
      </c>
      <c r="P14" s="369" t="s">
        <v>92</v>
      </c>
      <c r="Q14" s="369" t="s">
        <v>92</v>
      </c>
      <c r="R14" s="369" t="s">
        <v>92</v>
      </c>
      <c r="S14" s="369" t="s">
        <v>92</v>
      </c>
      <c r="T14" s="369" t="s">
        <v>91</v>
      </c>
      <c r="U14" s="369" t="s">
        <v>91</v>
      </c>
      <c r="V14" s="369" t="s">
        <v>91</v>
      </c>
      <c r="W14" s="2032" t="s">
        <v>91</v>
      </c>
      <c r="X14" s="369" t="s">
        <v>92</v>
      </c>
      <c r="Y14" s="369" t="s">
        <v>117</v>
      </c>
      <c r="Z14" s="369" t="s">
        <v>91</v>
      </c>
      <c r="AA14" s="369" t="s">
        <v>91</v>
      </c>
      <c r="AB14" s="369" t="s">
        <v>91</v>
      </c>
      <c r="AC14" s="369" t="s">
        <v>91</v>
      </c>
      <c r="AD14" s="2032" t="s">
        <v>91</v>
      </c>
      <c r="AE14" s="369" t="s">
        <v>92</v>
      </c>
      <c r="AF14" s="369" t="s">
        <v>92</v>
      </c>
      <c r="AG14" s="369" t="s">
        <v>91</v>
      </c>
      <c r="AH14" s="369" t="s">
        <v>91</v>
      </c>
      <c r="AI14" s="369" t="s">
        <v>91</v>
      </c>
      <c r="AJ14" s="369" t="s">
        <v>91</v>
      </c>
      <c r="AK14" s="369" t="s">
        <v>91</v>
      </c>
      <c r="AL14" s="369" t="s">
        <v>91</v>
      </c>
      <c r="AM14" s="2032" t="s">
        <v>91</v>
      </c>
      <c r="AN14" s="369" t="s">
        <v>118</v>
      </c>
      <c r="AO14" s="369" t="s">
        <v>118</v>
      </c>
      <c r="AP14" s="369" t="s">
        <v>118</v>
      </c>
      <c r="AQ14" s="369" t="s">
        <v>118</v>
      </c>
      <c r="AR14" s="369" t="s">
        <v>118</v>
      </c>
      <c r="AS14" s="369" t="s">
        <v>118</v>
      </c>
      <c r="AT14" s="369" t="s">
        <v>118</v>
      </c>
      <c r="AU14" s="369" t="s">
        <v>118</v>
      </c>
      <c r="AV14" s="2032" t="s">
        <v>118</v>
      </c>
      <c r="AW14" s="369" t="s">
        <v>118</v>
      </c>
      <c r="AX14" s="369" t="s">
        <v>118</v>
      </c>
      <c r="AY14" s="369" t="s">
        <v>118</v>
      </c>
      <c r="AZ14" s="369" t="s">
        <v>118</v>
      </c>
      <c r="BA14" s="369" t="s">
        <v>118</v>
      </c>
      <c r="BB14" s="369" t="s">
        <v>118</v>
      </c>
      <c r="BC14" s="2032" t="s">
        <v>118</v>
      </c>
      <c r="BD14" s="369" t="s">
        <v>118</v>
      </c>
      <c r="BE14" s="369" t="s">
        <v>118</v>
      </c>
      <c r="BF14" s="369" t="s">
        <v>118</v>
      </c>
      <c r="BG14" s="369" t="s">
        <v>118</v>
      </c>
      <c r="BH14" s="369" t="s">
        <v>118</v>
      </c>
      <c r="BI14" s="369" t="s">
        <v>118</v>
      </c>
      <c r="BJ14" s="369" t="s">
        <v>118</v>
      </c>
      <c r="BK14" s="369" t="s">
        <v>118</v>
      </c>
      <c r="BL14" s="369" t="s">
        <v>118</v>
      </c>
      <c r="BM14" s="369" t="s">
        <v>118</v>
      </c>
      <c r="BN14" s="369" t="s">
        <v>118</v>
      </c>
      <c r="BO14" s="369" t="s">
        <v>118</v>
      </c>
      <c r="BP14" s="369" t="s">
        <v>118</v>
      </c>
      <c r="BQ14" s="2032" t="s">
        <v>118</v>
      </c>
      <c r="BR14" s="2053" t="s">
        <v>118</v>
      </c>
      <c r="BS14" s="2054" t="s">
        <v>118</v>
      </c>
      <c r="BT14" s="2054" t="s">
        <v>118</v>
      </c>
      <c r="BU14" s="2054" t="s">
        <v>118</v>
      </c>
      <c r="BV14" s="2054" t="s">
        <v>118</v>
      </c>
      <c r="BW14" s="2054" t="s">
        <v>118</v>
      </c>
      <c r="BX14" s="2054" t="s">
        <v>118</v>
      </c>
      <c r="BY14" s="2054" t="s">
        <v>118</v>
      </c>
      <c r="BZ14" s="2054" t="s">
        <v>118</v>
      </c>
      <c r="CA14" s="2054" t="s">
        <v>118</v>
      </c>
      <c r="CB14" s="2054" t="s">
        <v>118</v>
      </c>
      <c r="CC14" s="2055" t="s">
        <v>118</v>
      </c>
      <c r="CD14" s="369" t="s">
        <v>118</v>
      </c>
      <c r="CE14" s="369" t="s">
        <v>118</v>
      </c>
      <c r="CF14" s="369" t="s">
        <v>118</v>
      </c>
      <c r="CG14" s="369" t="s">
        <v>118</v>
      </c>
      <c r="CH14" s="369" t="s">
        <v>118</v>
      </c>
      <c r="CI14" s="369" t="s">
        <v>118</v>
      </c>
      <c r="CJ14" s="369" t="s">
        <v>118</v>
      </c>
      <c r="CK14" s="369" t="s">
        <v>118</v>
      </c>
      <c r="CL14" s="369" t="s">
        <v>118</v>
      </c>
      <c r="CM14" s="2053" t="s">
        <v>118</v>
      </c>
      <c r="CN14" s="2054" t="s">
        <v>118</v>
      </c>
      <c r="CO14" s="2054" t="s">
        <v>118</v>
      </c>
      <c r="CP14" s="2054" t="s">
        <v>118</v>
      </c>
      <c r="CQ14" s="2054" t="s">
        <v>118</v>
      </c>
      <c r="CR14" s="2055" t="s">
        <v>118</v>
      </c>
      <c r="CS14" s="369" t="s">
        <v>118</v>
      </c>
      <c r="CT14" s="369" t="s">
        <v>118</v>
      </c>
      <c r="CU14" s="369" t="s">
        <v>118</v>
      </c>
      <c r="CV14" s="369" t="s">
        <v>118</v>
      </c>
      <c r="CW14" s="369" t="s">
        <v>118</v>
      </c>
      <c r="CX14" s="369" t="s">
        <v>118</v>
      </c>
      <c r="CY14" s="2032" t="s">
        <v>118</v>
      </c>
      <c r="CZ14" s="369" t="s">
        <v>118</v>
      </c>
      <c r="DA14" s="369" t="s">
        <v>118</v>
      </c>
      <c r="DB14" s="369" t="s">
        <v>118</v>
      </c>
      <c r="DC14" s="369" t="s">
        <v>118</v>
      </c>
      <c r="DD14" s="369" t="s">
        <v>118</v>
      </c>
      <c r="DE14" s="369" t="s">
        <v>118</v>
      </c>
      <c r="DF14" s="369" t="s">
        <v>118</v>
      </c>
      <c r="DG14" s="2032" t="s">
        <v>118</v>
      </c>
      <c r="DH14" s="369" t="s">
        <v>118</v>
      </c>
      <c r="DI14" s="369" t="s">
        <v>118</v>
      </c>
      <c r="DJ14" s="369" t="s">
        <v>118</v>
      </c>
      <c r="DK14" s="369" t="s">
        <v>118</v>
      </c>
      <c r="DL14" s="2032" t="s">
        <v>118</v>
      </c>
      <c r="DM14" s="369" t="s">
        <v>118</v>
      </c>
      <c r="DN14" s="369" t="s">
        <v>118</v>
      </c>
      <c r="DO14" s="369" t="s">
        <v>118</v>
      </c>
      <c r="DP14" s="2032" t="s">
        <v>118</v>
      </c>
      <c r="DQ14" s="369" t="s">
        <v>118</v>
      </c>
      <c r="DR14" s="369" t="s">
        <v>118</v>
      </c>
      <c r="DS14" s="2032" t="s">
        <v>118</v>
      </c>
      <c r="DT14" s="369" t="s">
        <v>118</v>
      </c>
      <c r="DU14" s="369" t="s">
        <v>118</v>
      </c>
      <c r="DV14" s="369" t="s">
        <v>118</v>
      </c>
      <c r="DW14" s="369" t="s">
        <v>118</v>
      </c>
      <c r="DX14" s="2032" t="s">
        <v>118</v>
      </c>
      <c r="DY14" s="369" t="s">
        <v>118</v>
      </c>
      <c r="DZ14" s="369" t="s">
        <v>118</v>
      </c>
      <c r="EA14" s="369" t="s">
        <v>118</v>
      </c>
      <c r="EB14" s="369" t="s">
        <v>118</v>
      </c>
      <c r="EC14" s="369" t="s">
        <v>118</v>
      </c>
      <c r="ED14" s="369" t="s">
        <v>118</v>
      </c>
      <c r="EE14" s="2049" t="s">
        <v>118</v>
      </c>
      <c r="EF14" s="369" t="s">
        <v>118</v>
      </c>
      <c r="EG14" s="369" t="s">
        <v>118</v>
      </c>
      <c r="EH14" s="369" t="s">
        <v>118</v>
      </c>
      <c r="EI14" s="2032" t="s">
        <v>118</v>
      </c>
    </row>
    <row r="15" ht="18.75" customHeight="1">
      <c r="A15" s="158"/>
      <c r="B15" s="135"/>
      <c r="C15" s="159" t="s">
        <v>162</v>
      </c>
      <c r="D15" s="369" t="s">
        <v>92</v>
      </c>
      <c r="E15" s="369" t="s">
        <v>91</v>
      </c>
      <c r="F15" s="369" t="s">
        <v>91</v>
      </c>
      <c r="G15" s="369" t="s">
        <v>91</v>
      </c>
      <c r="H15" s="369" t="s">
        <v>91</v>
      </c>
      <c r="I15" s="2032" t="s">
        <v>61</v>
      </c>
      <c r="J15" s="369" t="s">
        <v>92</v>
      </c>
      <c r="K15" s="369" t="s">
        <v>92</v>
      </c>
      <c r="L15" s="369" t="s">
        <v>92</v>
      </c>
      <c r="M15" s="369" t="s">
        <v>92</v>
      </c>
      <c r="N15" s="369" t="s">
        <v>91</v>
      </c>
      <c r="O15" s="2032" t="s">
        <v>92</v>
      </c>
      <c r="P15" s="369" t="s">
        <v>92</v>
      </c>
      <c r="Q15" s="369" t="s">
        <v>92</v>
      </c>
      <c r="R15" s="369" t="s">
        <v>92</v>
      </c>
      <c r="S15" s="369" t="s">
        <v>92</v>
      </c>
      <c r="T15" s="369" t="s">
        <v>92</v>
      </c>
      <c r="U15" s="369" t="s">
        <v>92</v>
      </c>
      <c r="V15" s="369" t="s">
        <v>92</v>
      </c>
      <c r="W15" s="2032" t="s">
        <v>91</v>
      </c>
      <c r="X15" s="369" t="s">
        <v>92</v>
      </c>
      <c r="Y15" s="369" t="s">
        <v>92</v>
      </c>
      <c r="Z15" s="369" t="s">
        <v>92</v>
      </c>
      <c r="AA15" s="369" t="s">
        <v>92</v>
      </c>
      <c r="AB15" s="369" t="s">
        <v>91</v>
      </c>
      <c r="AC15" s="369" t="s">
        <v>92</v>
      </c>
      <c r="AD15" s="2032" t="s">
        <v>91</v>
      </c>
      <c r="AE15" s="369" t="s">
        <v>92</v>
      </c>
      <c r="AF15" s="369" t="s">
        <v>92</v>
      </c>
      <c r="AG15" s="369" t="s">
        <v>91</v>
      </c>
      <c r="AH15" s="369" t="s">
        <v>91</v>
      </c>
      <c r="AI15" s="369" t="s">
        <v>91</v>
      </c>
      <c r="AJ15" s="369" t="s">
        <v>91</v>
      </c>
      <c r="AK15" s="369" t="s">
        <v>92</v>
      </c>
      <c r="AL15" s="369" t="s">
        <v>91</v>
      </c>
      <c r="AM15" s="2032" t="s">
        <v>91</v>
      </c>
      <c r="AN15" s="369" t="s">
        <v>1702</v>
      </c>
      <c r="AO15" s="369" t="s">
        <v>1703</v>
      </c>
      <c r="AP15" s="2033" t="s">
        <v>1702</v>
      </c>
      <c r="AQ15" s="2033" t="s">
        <v>1702</v>
      </c>
      <c r="AR15" s="2033" t="s">
        <v>1703</v>
      </c>
      <c r="AS15" s="2033" t="s">
        <v>1703</v>
      </c>
      <c r="AT15" s="2033" t="s">
        <v>1702</v>
      </c>
      <c r="AU15" s="2033" t="s">
        <v>1703</v>
      </c>
      <c r="AV15" s="2034" t="s">
        <v>1703</v>
      </c>
      <c r="AW15" s="2033" t="s">
        <v>1703</v>
      </c>
      <c r="AX15" s="369" t="s">
        <v>1703</v>
      </c>
      <c r="AY15" s="369" t="s">
        <v>1703</v>
      </c>
      <c r="AZ15" s="369" t="s">
        <v>1702</v>
      </c>
      <c r="BA15" s="369" t="s">
        <v>1702</v>
      </c>
      <c r="BB15" s="369" t="s">
        <v>1703</v>
      </c>
      <c r="BC15" s="2032" t="s">
        <v>1702</v>
      </c>
      <c r="BD15" s="2033" t="s">
        <v>92</v>
      </c>
      <c r="BE15" s="2033" t="s">
        <v>92</v>
      </c>
      <c r="BF15" s="2033" t="s">
        <v>91</v>
      </c>
      <c r="BG15" s="2033" t="s">
        <v>91</v>
      </c>
      <c r="BH15" s="2033" t="s">
        <v>92</v>
      </c>
      <c r="BI15" s="2033" t="s">
        <v>91</v>
      </c>
      <c r="BJ15" s="2033" t="s">
        <v>92</v>
      </c>
      <c r="BK15" s="2033" t="s">
        <v>92</v>
      </c>
      <c r="BL15" s="2033" t="s">
        <v>92</v>
      </c>
      <c r="BM15" s="2033" t="s">
        <v>91</v>
      </c>
      <c r="BN15" s="369" t="s">
        <v>91</v>
      </c>
      <c r="BO15" s="369" t="s">
        <v>92</v>
      </c>
      <c r="BP15" s="369" t="s">
        <v>92</v>
      </c>
      <c r="BQ15" s="2032" t="s">
        <v>91</v>
      </c>
      <c r="BR15" s="2035" t="s">
        <v>93</v>
      </c>
      <c r="BS15" s="2036" t="s">
        <v>93</v>
      </c>
      <c r="BT15" s="2036" t="s">
        <v>93</v>
      </c>
      <c r="BU15" s="2036" t="s">
        <v>93</v>
      </c>
      <c r="BV15" s="2036" t="s">
        <v>93</v>
      </c>
      <c r="BW15" s="2036" t="s">
        <v>93</v>
      </c>
      <c r="BX15" s="2036" t="s">
        <v>93</v>
      </c>
      <c r="BY15" s="2036" t="s">
        <v>93</v>
      </c>
      <c r="BZ15" s="2036" t="s">
        <v>93</v>
      </c>
      <c r="CA15" s="2036" t="s">
        <v>93</v>
      </c>
      <c r="CB15" s="2036" t="s">
        <v>93</v>
      </c>
      <c r="CC15" s="2037" t="s">
        <v>93</v>
      </c>
      <c r="CD15" s="369" t="s">
        <v>1703</v>
      </c>
      <c r="CE15" s="369" t="s">
        <v>1702</v>
      </c>
      <c r="CF15" s="369" t="s">
        <v>1702</v>
      </c>
      <c r="CG15" s="369" t="s">
        <v>1703</v>
      </c>
      <c r="CH15" s="369" t="s">
        <v>1702</v>
      </c>
      <c r="CI15" s="369" t="s">
        <v>1703</v>
      </c>
      <c r="CJ15" s="369" t="s">
        <v>1702</v>
      </c>
      <c r="CK15" s="369" t="s">
        <v>1702</v>
      </c>
      <c r="CL15" s="369" t="s">
        <v>1703</v>
      </c>
      <c r="CM15" s="2038" t="s">
        <v>91</v>
      </c>
      <c r="CN15" s="2039" t="s">
        <v>91</v>
      </c>
      <c r="CO15" s="2039" t="s">
        <v>91</v>
      </c>
      <c r="CP15" s="2039" t="s">
        <v>91</v>
      </c>
      <c r="CQ15" s="2039" t="s">
        <v>91</v>
      </c>
      <c r="CR15" s="2062" t="s">
        <v>91</v>
      </c>
      <c r="CS15" s="369" t="s">
        <v>91</v>
      </c>
      <c r="CT15" s="369" t="s">
        <v>91</v>
      </c>
      <c r="CU15" s="369" t="s">
        <v>91</v>
      </c>
      <c r="CV15" s="369" t="s">
        <v>117</v>
      </c>
      <c r="CW15" s="369" t="s">
        <v>92</v>
      </c>
      <c r="CX15" s="369" t="s">
        <v>92</v>
      </c>
      <c r="CY15" s="2032" t="s">
        <v>92</v>
      </c>
      <c r="CZ15" s="369" t="s">
        <v>93</v>
      </c>
      <c r="DA15" s="369" t="s">
        <v>93</v>
      </c>
      <c r="DB15" s="369" t="s">
        <v>93</v>
      </c>
      <c r="DC15" s="369" t="s">
        <v>93</v>
      </c>
      <c r="DD15" s="369" t="s">
        <v>93</v>
      </c>
      <c r="DE15" s="369" t="s">
        <v>93</v>
      </c>
      <c r="DF15" s="369" t="s">
        <v>93</v>
      </c>
      <c r="DG15" s="2032" t="s">
        <v>93</v>
      </c>
      <c r="DH15" s="369" t="s">
        <v>93</v>
      </c>
      <c r="DI15" s="369" t="s">
        <v>93</v>
      </c>
      <c r="DJ15" s="369" t="s">
        <v>93</v>
      </c>
      <c r="DK15" s="369" t="s">
        <v>93</v>
      </c>
      <c r="DL15" s="2032" t="s">
        <v>93</v>
      </c>
      <c r="DM15" s="369" t="s">
        <v>91</v>
      </c>
      <c r="DN15" s="369" t="s">
        <v>92</v>
      </c>
      <c r="DO15" s="369" t="s">
        <v>92</v>
      </c>
      <c r="DP15" s="2032" t="s">
        <v>91</v>
      </c>
      <c r="DQ15" s="369" t="s">
        <v>91</v>
      </c>
      <c r="DR15" s="369" t="s">
        <v>92</v>
      </c>
      <c r="DS15" s="2032" t="s">
        <v>92</v>
      </c>
      <c r="DT15" s="369" t="s">
        <v>92</v>
      </c>
      <c r="DU15" s="369" t="s">
        <v>91</v>
      </c>
      <c r="DV15" s="369" t="s">
        <v>92</v>
      </c>
      <c r="DW15" s="369" t="s">
        <v>91</v>
      </c>
      <c r="DX15" s="2032" t="s">
        <v>117</v>
      </c>
      <c r="DY15" s="369" t="s">
        <v>91</v>
      </c>
      <c r="DZ15" s="369" t="s">
        <v>91</v>
      </c>
      <c r="EA15" s="369" t="s">
        <v>92</v>
      </c>
      <c r="EB15" s="369" t="s">
        <v>91</v>
      </c>
      <c r="EC15" s="369" t="s">
        <v>91</v>
      </c>
      <c r="ED15" s="369" t="s">
        <v>91</v>
      </c>
      <c r="EE15" s="2059" t="s">
        <v>93</v>
      </c>
      <c r="EF15" s="2060" t="s">
        <v>93</v>
      </c>
      <c r="EG15" s="2060" t="s">
        <v>93</v>
      </c>
      <c r="EH15" s="2060" t="s">
        <v>93</v>
      </c>
      <c r="EI15" s="2061" t="s">
        <v>93</v>
      </c>
    </row>
    <row r="16" ht="18.75" customHeight="1">
      <c r="A16" s="158"/>
      <c r="B16" s="135"/>
      <c r="C16" s="159" t="s">
        <v>440</v>
      </c>
      <c r="D16" s="369" t="s">
        <v>92</v>
      </c>
      <c r="E16" s="369" t="s">
        <v>91</v>
      </c>
      <c r="F16" s="369" t="s">
        <v>91</v>
      </c>
      <c r="G16" s="369" t="s">
        <v>91</v>
      </c>
      <c r="H16" s="369" t="s">
        <v>92</v>
      </c>
      <c r="I16" s="2032" t="s">
        <v>61</v>
      </c>
      <c r="J16" s="369" t="s">
        <v>92</v>
      </c>
      <c r="K16" s="369" t="s">
        <v>92</v>
      </c>
      <c r="L16" s="369" t="s">
        <v>92</v>
      </c>
      <c r="M16" s="369" t="s">
        <v>91</v>
      </c>
      <c r="N16" s="369" t="s">
        <v>91</v>
      </c>
      <c r="O16" s="2032" t="s">
        <v>92</v>
      </c>
      <c r="P16" s="369" t="s">
        <v>92</v>
      </c>
      <c r="Q16" s="369" t="s">
        <v>92</v>
      </c>
      <c r="R16" s="369" t="s">
        <v>92</v>
      </c>
      <c r="S16" s="369" t="s">
        <v>92</v>
      </c>
      <c r="T16" s="369" t="s">
        <v>92</v>
      </c>
      <c r="U16" s="369" t="s">
        <v>92</v>
      </c>
      <c r="V16" s="369" t="s">
        <v>92</v>
      </c>
      <c r="W16" s="2032" t="s">
        <v>92</v>
      </c>
      <c r="X16" s="369" t="s">
        <v>91</v>
      </c>
      <c r="Y16" s="369" t="s">
        <v>91</v>
      </c>
      <c r="Z16" s="369" t="s">
        <v>91</v>
      </c>
      <c r="AA16" s="369" t="s">
        <v>92</v>
      </c>
      <c r="AB16" s="369" t="s">
        <v>91</v>
      </c>
      <c r="AC16" s="369" t="s">
        <v>117</v>
      </c>
      <c r="AD16" s="2032" t="s">
        <v>91</v>
      </c>
      <c r="AE16" s="369" t="s">
        <v>93</v>
      </c>
      <c r="AF16" s="369" t="s">
        <v>93</v>
      </c>
      <c r="AG16" s="369" t="s">
        <v>93</v>
      </c>
      <c r="AH16" s="369" t="s">
        <v>93</v>
      </c>
      <c r="AI16" s="369" t="s">
        <v>93</v>
      </c>
      <c r="AJ16" s="369" t="s">
        <v>93</v>
      </c>
      <c r="AK16" s="369" t="s">
        <v>93</v>
      </c>
      <c r="AL16" s="369" t="s">
        <v>93</v>
      </c>
      <c r="AM16" s="2032" t="s">
        <v>93</v>
      </c>
      <c r="AN16" s="369" t="s">
        <v>93</v>
      </c>
      <c r="AO16" s="369" t="s">
        <v>93</v>
      </c>
      <c r="AP16" s="2047" t="s">
        <v>93</v>
      </c>
      <c r="AQ16" s="2047" t="s">
        <v>93</v>
      </c>
      <c r="AR16" s="2047" t="s">
        <v>93</v>
      </c>
      <c r="AS16" s="2047" t="s">
        <v>93</v>
      </c>
      <c r="AT16" s="2047" t="s">
        <v>93</v>
      </c>
      <c r="AU16" s="2047" t="s">
        <v>93</v>
      </c>
      <c r="AV16" s="2048" t="s">
        <v>93</v>
      </c>
      <c r="AW16" s="2033" t="s">
        <v>1702</v>
      </c>
      <c r="AX16" s="369" t="s">
        <v>1703</v>
      </c>
      <c r="AY16" s="369" t="s">
        <v>1703</v>
      </c>
      <c r="AZ16" s="369" t="s">
        <v>1702</v>
      </c>
      <c r="BA16" s="369" t="s">
        <v>1703</v>
      </c>
      <c r="BB16" s="369" t="s">
        <v>1703</v>
      </c>
      <c r="BC16" s="2032" t="s">
        <v>1703</v>
      </c>
      <c r="BD16" s="369" t="s">
        <v>93</v>
      </c>
      <c r="BE16" s="369" t="s">
        <v>93</v>
      </c>
      <c r="BF16" s="369" t="s">
        <v>93</v>
      </c>
      <c r="BG16" s="369" t="s">
        <v>93</v>
      </c>
      <c r="BH16" s="369" t="s">
        <v>93</v>
      </c>
      <c r="BI16" s="369" t="s">
        <v>93</v>
      </c>
      <c r="BJ16" s="369" t="s">
        <v>93</v>
      </c>
      <c r="BK16" s="369" t="s">
        <v>93</v>
      </c>
      <c r="BL16" s="369" t="s">
        <v>93</v>
      </c>
      <c r="BM16" s="369" t="s">
        <v>93</v>
      </c>
      <c r="BN16" s="369" t="s">
        <v>93</v>
      </c>
      <c r="BO16" s="369" t="s">
        <v>93</v>
      </c>
      <c r="BP16" s="369" t="s">
        <v>93</v>
      </c>
      <c r="BQ16" s="2032" t="s">
        <v>93</v>
      </c>
      <c r="BR16" s="2050" t="s">
        <v>91</v>
      </c>
      <c r="BS16" s="2051" t="s">
        <v>92</v>
      </c>
      <c r="BT16" s="2051" t="s">
        <v>91</v>
      </c>
      <c r="BU16" s="2051" t="s">
        <v>91</v>
      </c>
      <c r="BV16" s="2051" t="s">
        <v>92</v>
      </c>
      <c r="BW16" s="2051" t="s">
        <v>91</v>
      </c>
      <c r="BX16" s="2051" t="s">
        <v>91</v>
      </c>
      <c r="BY16" s="2051" t="s">
        <v>91</v>
      </c>
      <c r="BZ16" s="2063" t="s">
        <v>117</v>
      </c>
      <c r="CA16" s="2063" t="s">
        <v>117</v>
      </c>
      <c r="CB16" s="2051" t="s">
        <v>91</v>
      </c>
      <c r="CC16" s="2052" t="s">
        <v>92</v>
      </c>
      <c r="CD16" s="369" t="s">
        <v>1703</v>
      </c>
      <c r="CE16" s="369" t="s">
        <v>1702</v>
      </c>
      <c r="CF16" s="369" t="s">
        <v>1702</v>
      </c>
      <c r="CG16" s="369" t="s">
        <v>1703</v>
      </c>
      <c r="CH16" s="369" t="s">
        <v>1702</v>
      </c>
      <c r="CI16" s="369" t="s">
        <v>1703</v>
      </c>
      <c r="CJ16" s="369" t="s">
        <v>1702</v>
      </c>
      <c r="CK16" s="369" t="s">
        <v>1702</v>
      </c>
      <c r="CL16" s="369" t="s">
        <v>117</v>
      </c>
      <c r="CM16" s="2035" t="s">
        <v>93</v>
      </c>
      <c r="CN16" s="2036" t="s">
        <v>93</v>
      </c>
      <c r="CO16" s="2036" t="s">
        <v>93</v>
      </c>
      <c r="CP16" s="2036" t="s">
        <v>93</v>
      </c>
      <c r="CQ16" s="2036" t="s">
        <v>93</v>
      </c>
      <c r="CR16" s="2037" t="s">
        <v>93</v>
      </c>
      <c r="CS16" s="369" t="s">
        <v>91</v>
      </c>
      <c r="CT16" s="369" t="s">
        <v>91</v>
      </c>
      <c r="CU16" s="369" t="s">
        <v>92</v>
      </c>
      <c r="CV16" s="369" t="s">
        <v>92</v>
      </c>
      <c r="CW16" s="369" t="s">
        <v>91</v>
      </c>
      <c r="CX16" s="369" t="s">
        <v>91</v>
      </c>
      <c r="CY16" s="2032" t="s">
        <v>91</v>
      </c>
      <c r="CZ16" s="369" t="s">
        <v>93</v>
      </c>
      <c r="DA16" s="369" t="s">
        <v>93</v>
      </c>
      <c r="DB16" s="369" t="s">
        <v>93</v>
      </c>
      <c r="DC16" s="369" t="s">
        <v>93</v>
      </c>
      <c r="DD16" s="369" t="s">
        <v>93</v>
      </c>
      <c r="DE16" s="369" t="s">
        <v>93</v>
      </c>
      <c r="DF16" s="369" t="s">
        <v>93</v>
      </c>
      <c r="DG16" s="2032" t="s">
        <v>93</v>
      </c>
      <c r="DH16" s="369" t="s">
        <v>91</v>
      </c>
      <c r="DI16" s="2041" t="s">
        <v>91</v>
      </c>
      <c r="DJ16" s="369" t="s">
        <v>91</v>
      </c>
      <c r="DK16" s="369" t="s">
        <v>91</v>
      </c>
      <c r="DL16" s="2032" t="s">
        <v>91</v>
      </c>
      <c r="DM16" s="369" t="s">
        <v>91</v>
      </c>
      <c r="DN16" s="369" t="s">
        <v>117</v>
      </c>
      <c r="DO16" s="369" t="s">
        <v>92</v>
      </c>
      <c r="DP16" s="2032" t="s">
        <v>92</v>
      </c>
      <c r="DQ16" s="369" t="s">
        <v>93</v>
      </c>
      <c r="DR16" s="369" t="s">
        <v>93</v>
      </c>
      <c r="DS16" s="2032" t="s">
        <v>93</v>
      </c>
      <c r="DT16" s="369" t="s">
        <v>92</v>
      </c>
      <c r="DU16" s="369" t="s">
        <v>91</v>
      </c>
      <c r="DV16" s="369" t="s">
        <v>91</v>
      </c>
      <c r="DW16" s="369" t="s">
        <v>91</v>
      </c>
      <c r="DX16" s="2032" t="s">
        <v>91</v>
      </c>
      <c r="DY16" s="369" t="s">
        <v>91</v>
      </c>
      <c r="DZ16" s="369" t="s">
        <v>91</v>
      </c>
      <c r="EA16" s="369" t="s">
        <v>91</v>
      </c>
      <c r="EB16" s="369" t="s">
        <v>91</v>
      </c>
      <c r="EC16" s="369" t="s">
        <v>91</v>
      </c>
      <c r="ED16" s="369" t="s">
        <v>91</v>
      </c>
      <c r="EE16" s="2042" t="s">
        <v>91</v>
      </c>
      <c r="EF16" s="2043" t="s">
        <v>92</v>
      </c>
      <c r="EG16" s="2043" t="s">
        <v>92</v>
      </c>
      <c r="EH16" s="2044" t="s">
        <v>91</v>
      </c>
      <c r="EI16" s="2045" t="s">
        <v>91</v>
      </c>
    </row>
    <row r="17" ht="18.75" customHeight="1">
      <c r="A17" s="158"/>
      <c r="B17" s="135"/>
      <c r="C17" s="2046" t="s">
        <v>206</v>
      </c>
      <c r="D17" s="369" t="s">
        <v>92</v>
      </c>
      <c r="E17" s="369" t="s">
        <v>91</v>
      </c>
      <c r="F17" s="369" t="s">
        <v>91</v>
      </c>
      <c r="G17" s="369" t="s">
        <v>91</v>
      </c>
      <c r="H17" s="369" t="s">
        <v>91</v>
      </c>
      <c r="I17" s="2032" t="s">
        <v>61</v>
      </c>
      <c r="J17" s="369" t="s">
        <v>92</v>
      </c>
      <c r="K17" s="369" t="s">
        <v>92</v>
      </c>
      <c r="L17" s="369" t="s">
        <v>92</v>
      </c>
      <c r="M17" s="369" t="s">
        <v>91</v>
      </c>
      <c r="N17" s="369" t="s">
        <v>91</v>
      </c>
      <c r="O17" s="2032" t="s">
        <v>92</v>
      </c>
      <c r="P17" s="369" t="s">
        <v>92</v>
      </c>
      <c r="Q17" s="369" t="s">
        <v>92</v>
      </c>
      <c r="R17" s="369" t="s">
        <v>92</v>
      </c>
      <c r="S17" s="369" t="s">
        <v>92</v>
      </c>
      <c r="T17" s="369" t="s">
        <v>91</v>
      </c>
      <c r="U17" s="369" t="s">
        <v>91</v>
      </c>
      <c r="V17" s="369" t="s">
        <v>91</v>
      </c>
      <c r="W17" s="2032" t="s">
        <v>91</v>
      </c>
      <c r="X17" s="369" t="s">
        <v>92</v>
      </c>
      <c r="Y17" s="369" t="s">
        <v>92</v>
      </c>
      <c r="Z17" s="369" t="s">
        <v>91</v>
      </c>
      <c r="AA17" s="369" t="s">
        <v>92</v>
      </c>
      <c r="AB17" s="369" t="s">
        <v>91</v>
      </c>
      <c r="AC17" s="369" t="s">
        <v>92</v>
      </c>
      <c r="AD17" s="2032" t="s">
        <v>91</v>
      </c>
      <c r="AE17" s="369" t="s">
        <v>92</v>
      </c>
      <c r="AF17" s="369" t="s">
        <v>92</v>
      </c>
      <c r="AG17" s="369" t="s">
        <v>91</v>
      </c>
      <c r="AH17" s="369" t="s">
        <v>117</v>
      </c>
      <c r="AI17" s="369" t="s">
        <v>92</v>
      </c>
      <c r="AJ17" s="369" t="s">
        <v>91</v>
      </c>
      <c r="AK17" s="369" t="s">
        <v>91</v>
      </c>
      <c r="AL17" s="369" t="s">
        <v>91</v>
      </c>
      <c r="AM17" s="2032" t="s">
        <v>91</v>
      </c>
      <c r="AN17" s="369" t="s">
        <v>1702</v>
      </c>
      <c r="AO17" s="369" t="s">
        <v>1702</v>
      </c>
      <c r="AP17" s="2033" t="s">
        <v>1702</v>
      </c>
      <c r="AQ17" s="2033" t="s">
        <v>1702</v>
      </c>
      <c r="AR17" s="2033" t="s">
        <v>1702</v>
      </c>
      <c r="AS17" s="2033" t="s">
        <v>1702</v>
      </c>
      <c r="AT17" s="2033" t="s">
        <v>1702</v>
      </c>
      <c r="AU17" s="2033" t="s">
        <v>1703</v>
      </c>
      <c r="AV17" s="2034" t="s">
        <v>1703</v>
      </c>
      <c r="AW17" s="2033" t="s">
        <v>1702</v>
      </c>
      <c r="AX17" s="369" t="s">
        <v>1702</v>
      </c>
      <c r="AY17" s="369" t="s">
        <v>1702</v>
      </c>
      <c r="AZ17" s="369" t="s">
        <v>1703</v>
      </c>
      <c r="BA17" s="369" t="s">
        <v>1702</v>
      </c>
      <c r="BB17" s="369" t="s">
        <v>1703</v>
      </c>
      <c r="BC17" s="2032" t="s">
        <v>1703</v>
      </c>
      <c r="BD17" s="2033" t="s">
        <v>92</v>
      </c>
      <c r="BE17" s="2033" t="s">
        <v>92</v>
      </c>
      <c r="BF17" s="2033" t="s">
        <v>91</v>
      </c>
      <c r="BG17" s="2033" t="s">
        <v>92</v>
      </c>
      <c r="BH17" s="2033" t="s">
        <v>92</v>
      </c>
      <c r="BI17" s="2033" t="s">
        <v>92</v>
      </c>
      <c r="BJ17" s="2033" t="s">
        <v>91</v>
      </c>
      <c r="BK17" s="369" t="s">
        <v>91</v>
      </c>
      <c r="BL17" s="369" t="s">
        <v>92</v>
      </c>
      <c r="BM17" s="369" t="s">
        <v>91</v>
      </c>
      <c r="BN17" s="369" t="s">
        <v>91</v>
      </c>
      <c r="BO17" s="369" t="s">
        <v>92</v>
      </c>
      <c r="BP17" s="369" t="s">
        <v>91</v>
      </c>
      <c r="BQ17" s="2032" t="s">
        <v>91</v>
      </c>
      <c r="BR17" s="2053" t="s">
        <v>118</v>
      </c>
      <c r="BS17" s="2054" t="s">
        <v>118</v>
      </c>
      <c r="BT17" s="2054" t="s">
        <v>118</v>
      </c>
      <c r="BU17" s="2054" t="s">
        <v>118</v>
      </c>
      <c r="BV17" s="2054" t="s">
        <v>118</v>
      </c>
      <c r="BW17" s="2054" t="s">
        <v>118</v>
      </c>
      <c r="BX17" s="2054" t="s">
        <v>118</v>
      </c>
      <c r="BY17" s="2054" t="s">
        <v>118</v>
      </c>
      <c r="BZ17" s="2054" t="s">
        <v>118</v>
      </c>
      <c r="CA17" s="2054" t="s">
        <v>118</v>
      </c>
      <c r="CB17" s="2054" t="s">
        <v>118</v>
      </c>
      <c r="CC17" s="2055" t="s">
        <v>118</v>
      </c>
      <c r="CD17" s="369" t="s">
        <v>93</v>
      </c>
      <c r="CE17" s="369" t="s">
        <v>93</v>
      </c>
      <c r="CF17" s="369" t="s">
        <v>93</v>
      </c>
      <c r="CG17" s="369" t="s">
        <v>93</v>
      </c>
      <c r="CH17" s="369" t="s">
        <v>93</v>
      </c>
      <c r="CI17" s="369" t="s">
        <v>93</v>
      </c>
      <c r="CJ17" s="369" t="s">
        <v>93</v>
      </c>
      <c r="CK17" s="369" t="s">
        <v>93</v>
      </c>
      <c r="CL17" s="369" t="s">
        <v>93</v>
      </c>
      <c r="CM17" s="2053" t="s">
        <v>118</v>
      </c>
      <c r="CN17" s="2054" t="s">
        <v>118</v>
      </c>
      <c r="CO17" s="2054" t="s">
        <v>118</v>
      </c>
      <c r="CP17" s="2054" t="s">
        <v>118</v>
      </c>
      <c r="CQ17" s="2054" t="s">
        <v>118</v>
      </c>
      <c r="CR17" s="2055" t="s">
        <v>118</v>
      </c>
      <c r="CS17" s="369" t="s">
        <v>118</v>
      </c>
      <c r="CT17" s="369" t="s">
        <v>118</v>
      </c>
      <c r="CU17" s="369" t="s">
        <v>118</v>
      </c>
      <c r="CV17" s="369" t="s">
        <v>118</v>
      </c>
      <c r="CW17" s="369" t="s">
        <v>118</v>
      </c>
      <c r="CX17" s="369" t="s">
        <v>118</v>
      </c>
      <c r="CY17" s="2032" t="s">
        <v>118</v>
      </c>
      <c r="CZ17" s="369" t="s">
        <v>118</v>
      </c>
      <c r="DA17" s="369" t="s">
        <v>118</v>
      </c>
      <c r="DB17" s="369" t="s">
        <v>118</v>
      </c>
      <c r="DC17" s="369" t="s">
        <v>118</v>
      </c>
      <c r="DD17" s="369" t="s">
        <v>118</v>
      </c>
      <c r="DE17" s="369" t="s">
        <v>118</v>
      </c>
      <c r="DF17" s="369" t="s">
        <v>118</v>
      </c>
      <c r="DG17" s="2032" t="s">
        <v>118</v>
      </c>
      <c r="DH17" s="369" t="s">
        <v>118</v>
      </c>
      <c r="DI17" s="369" t="s">
        <v>118</v>
      </c>
      <c r="DJ17" s="369" t="s">
        <v>118</v>
      </c>
      <c r="DK17" s="369" t="s">
        <v>118</v>
      </c>
      <c r="DL17" s="2032" t="s">
        <v>118</v>
      </c>
      <c r="DM17" s="369" t="s">
        <v>118</v>
      </c>
      <c r="DN17" s="369" t="s">
        <v>118</v>
      </c>
      <c r="DO17" s="369" t="s">
        <v>118</v>
      </c>
      <c r="DP17" s="2032" t="s">
        <v>118</v>
      </c>
      <c r="DQ17" s="369" t="s">
        <v>118</v>
      </c>
      <c r="DR17" s="369" t="s">
        <v>118</v>
      </c>
      <c r="DS17" s="2032" t="s">
        <v>118</v>
      </c>
      <c r="DT17" s="369" t="s">
        <v>118</v>
      </c>
      <c r="DU17" s="369" t="s">
        <v>118</v>
      </c>
      <c r="DV17" s="369" t="s">
        <v>118</v>
      </c>
      <c r="DW17" s="369" t="s">
        <v>118</v>
      </c>
      <c r="DX17" s="2032" t="s">
        <v>118</v>
      </c>
      <c r="DY17" s="369" t="s">
        <v>118</v>
      </c>
      <c r="DZ17" s="369" t="s">
        <v>118</v>
      </c>
      <c r="EA17" s="369" t="s">
        <v>118</v>
      </c>
      <c r="EB17" s="369" t="s">
        <v>118</v>
      </c>
      <c r="EC17" s="369" t="s">
        <v>118</v>
      </c>
      <c r="ED17" s="369" t="s">
        <v>118</v>
      </c>
      <c r="EE17" s="369" t="s">
        <v>118</v>
      </c>
      <c r="EF17" s="369" t="s">
        <v>118</v>
      </c>
      <c r="EG17" s="369" t="s">
        <v>118</v>
      </c>
      <c r="EH17" s="369" t="s">
        <v>118</v>
      </c>
      <c r="EI17" s="369" t="s">
        <v>118</v>
      </c>
    </row>
    <row r="18" ht="18.75" customHeight="1">
      <c r="A18" s="158"/>
      <c r="B18" s="135"/>
      <c r="C18" s="159" t="s">
        <v>95</v>
      </c>
      <c r="D18" s="369" t="s">
        <v>118</v>
      </c>
      <c r="E18" s="369" t="s">
        <v>118</v>
      </c>
      <c r="F18" s="369" t="s">
        <v>118</v>
      </c>
      <c r="G18" s="369" t="s">
        <v>118</v>
      </c>
      <c r="H18" s="369" t="s">
        <v>118</v>
      </c>
      <c r="I18" s="2032" t="s">
        <v>118</v>
      </c>
      <c r="J18" s="369" t="s">
        <v>118</v>
      </c>
      <c r="K18" s="369" t="s">
        <v>118</v>
      </c>
      <c r="L18" s="369" t="s">
        <v>118</v>
      </c>
      <c r="M18" s="369" t="s">
        <v>118</v>
      </c>
      <c r="N18" s="369" t="s">
        <v>118</v>
      </c>
      <c r="O18" s="2032" t="s">
        <v>118</v>
      </c>
      <c r="P18" s="369" t="s">
        <v>118</v>
      </c>
      <c r="Q18" s="369" t="s">
        <v>118</v>
      </c>
      <c r="R18" s="369" t="s">
        <v>118</v>
      </c>
      <c r="S18" s="369" t="s">
        <v>118</v>
      </c>
      <c r="T18" s="369" t="s">
        <v>118</v>
      </c>
      <c r="U18" s="369" t="s">
        <v>118</v>
      </c>
      <c r="V18" s="369" t="s">
        <v>118</v>
      </c>
      <c r="W18" s="2032" t="s">
        <v>118</v>
      </c>
      <c r="X18" s="369" t="s">
        <v>118</v>
      </c>
      <c r="Y18" s="369" t="s">
        <v>118</v>
      </c>
      <c r="Z18" s="369" t="s">
        <v>118</v>
      </c>
      <c r="AA18" s="369" t="s">
        <v>118</v>
      </c>
      <c r="AB18" s="369" t="s">
        <v>118</v>
      </c>
      <c r="AC18" s="369" t="s">
        <v>118</v>
      </c>
      <c r="AD18" s="2032" t="s">
        <v>118</v>
      </c>
      <c r="AE18" s="369" t="s">
        <v>118</v>
      </c>
      <c r="AF18" s="369" t="s">
        <v>118</v>
      </c>
      <c r="AG18" s="369" t="s">
        <v>118</v>
      </c>
      <c r="AH18" s="369" t="s">
        <v>118</v>
      </c>
      <c r="AI18" s="369" t="s">
        <v>118</v>
      </c>
      <c r="AJ18" s="369" t="s">
        <v>118</v>
      </c>
      <c r="AK18" s="369" t="s">
        <v>118</v>
      </c>
      <c r="AL18" s="369" t="s">
        <v>118</v>
      </c>
      <c r="AM18" s="2032" t="s">
        <v>118</v>
      </c>
      <c r="AN18" s="369" t="s">
        <v>118</v>
      </c>
      <c r="AO18" s="369" t="s">
        <v>118</v>
      </c>
      <c r="AP18" s="369" t="s">
        <v>118</v>
      </c>
      <c r="AQ18" s="369" t="s">
        <v>118</v>
      </c>
      <c r="AR18" s="369" t="s">
        <v>118</v>
      </c>
      <c r="AS18" s="369" t="s">
        <v>118</v>
      </c>
      <c r="AT18" s="369" t="s">
        <v>118</v>
      </c>
      <c r="AU18" s="369" t="s">
        <v>118</v>
      </c>
      <c r="AV18" s="2032" t="s">
        <v>118</v>
      </c>
      <c r="AW18" s="369" t="s">
        <v>118</v>
      </c>
      <c r="AX18" s="369" t="s">
        <v>118</v>
      </c>
      <c r="AY18" s="369" t="s">
        <v>118</v>
      </c>
      <c r="AZ18" s="369" t="s">
        <v>118</v>
      </c>
      <c r="BA18" s="369" t="s">
        <v>118</v>
      </c>
      <c r="BB18" s="369" t="s">
        <v>118</v>
      </c>
      <c r="BC18" s="2032" t="s">
        <v>118</v>
      </c>
      <c r="BD18" s="369" t="s">
        <v>118</v>
      </c>
      <c r="BE18" s="369" t="s">
        <v>118</v>
      </c>
      <c r="BF18" s="369" t="s">
        <v>118</v>
      </c>
      <c r="BG18" s="369" t="s">
        <v>118</v>
      </c>
      <c r="BH18" s="369" t="s">
        <v>118</v>
      </c>
      <c r="BI18" s="369" t="s">
        <v>118</v>
      </c>
      <c r="BJ18" s="369" t="s">
        <v>118</v>
      </c>
      <c r="BK18" s="369" t="s">
        <v>118</v>
      </c>
      <c r="BL18" s="369" t="s">
        <v>118</v>
      </c>
      <c r="BM18" s="369" t="s">
        <v>118</v>
      </c>
      <c r="BN18" s="369" t="s">
        <v>118</v>
      </c>
      <c r="BO18" s="369" t="s">
        <v>118</v>
      </c>
      <c r="BP18" s="369" t="s">
        <v>118</v>
      </c>
      <c r="BQ18" s="2032" t="s">
        <v>118</v>
      </c>
      <c r="BR18" s="2050" t="s">
        <v>118</v>
      </c>
      <c r="BS18" s="2051" t="s">
        <v>118</v>
      </c>
      <c r="BT18" s="2051" t="s">
        <v>118</v>
      </c>
      <c r="BU18" s="2051" t="s">
        <v>118</v>
      </c>
      <c r="BV18" s="2051" t="s">
        <v>118</v>
      </c>
      <c r="BW18" s="2051" t="s">
        <v>118</v>
      </c>
      <c r="BX18" s="2051" t="s">
        <v>118</v>
      </c>
      <c r="BY18" s="2051" t="s">
        <v>118</v>
      </c>
      <c r="BZ18" s="2051" t="s">
        <v>118</v>
      </c>
      <c r="CA18" s="2051" t="s">
        <v>118</v>
      </c>
      <c r="CB18" s="2051" t="s">
        <v>118</v>
      </c>
      <c r="CC18" s="2052" t="s">
        <v>118</v>
      </c>
      <c r="CD18" s="369" t="s">
        <v>118</v>
      </c>
      <c r="CE18" s="369" t="s">
        <v>118</v>
      </c>
      <c r="CF18" s="369" t="s">
        <v>118</v>
      </c>
      <c r="CG18" s="369" t="s">
        <v>118</v>
      </c>
      <c r="CH18" s="369" t="s">
        <v>118</v>
      </c>
      <c r="CI18" s="369" t="s">
        <v>118</v>
      </c>
      <c r="CJ18" s="369" t="s">
        <v>118</v>
      </c>
      <c r="CK18" s="369" t="s">
        <v>118</v>
      </c>
      <c r="CL18" s="369" t="s">
        <v>118</v>
      </c>
      <c r="CM18" s="2038" t="s">
        <v>91</v>
      </c>
      <c r="CN18" s="2039" t="s">
        <v>91</v>
      </c>
      <c r="CO18" s="2039" t="s">
        <v>91</v>
      </c>
      <c r="CP18" s="2039" t="s">
        <v>91</v>
      </c>
      <c r="CQ18" s="2039" t="s">
        <v>91</v>
      </c>
      <c r="CR18" s="2040" t="s">
        <v>92</v>
      </c>
      <c r="CS18" s="369" t="s">
        <v>91</v>
      </c>
      <c r="CT18" s="369" t="s">
        <v>91</v>
      </c>
      <c r="CU18" s="369" t="s">
        <v>92</v>
      </c>
      <c r="CV18" s="369" t="s">
        <v>91</v>
      </c>
      <c r="CW18" s="369" t="s">
        <v>92</v>
      </c>
      <c r="CX18" s="369" t="s">
        <v>91</v>
      </c>
      <c r="CY18" s="2032" t="s">
        <v>91</v>
      </c>
      <c r="CZ18" s="369" t="s">
        <v>91</v>
      </c>
      <c r="DA18" s="369" t="s">
        <v>91</v>
      </c>
      <c r="DB18" s="369" t="s">
        <v>91</v>
      </c>
      <c r="DC18" s="369" t="s">
        <v>92</v>
      </c>
      <c r="DD18" s="369" t="s">
        <v>91</v>
      </c>
      <c r="DE18" s="369" t="s">
        <v>92</v>
      </c>
      <c r="DF18" s="369" t="s">
        <v>91</v>
      </c>
      <c r="DG18" s="2032" t="s">
        <v>91</v>
      </c>
      <c r="DH18" s="369" t="s">
        <v>93</v>
      </c>
      <c r="DI18" s="369" t="s">
        <v>93</v>
      </c>
      <c r="DJ18" s="369" t="s">
        <v>93</v>
      </c>
      <c r="DK18" s="369" t="s">
        <v>93</v>
      </c>
      <c r="DL18" s="2032" t="s">
        <v>93</v>
      </c>
      <c r="DM18" s="369" t="s">
        <v>91</v>
      </c>
      <c r="DN18" s="369" t="s">
        <v>92</v>
      </c>
      <c r="DO18" s="369" t="s">
        <v>92</v>
      </c>
      <c r="DP18" s="2032" t="s">
        <v>91</v>
      </c>
      <c r="DQ18" s="369" t="s">
        <v>93</v>
      </c>
      <c r="DR18" s="369" t="s">
        <v>93</v>
      </c>
      <c r="DS18" s="2032" t="s">
        <v>93</v>
      </c>
      <c r="DT18" s="369" t="s">
        <v>93</v>
      </c>
      <c r="DU18" s="369" t="s">
        <v>93</v>
      </c>
      <c r="DV18" s="369" t="s">
        <v>93</v>
      </c>
      <c r="DW18" s="369" t="s">
        <v>93</v>
      </c>
      <c r="DX18" s="2032" t="s">
        <v>93</v>
      </c>
      <c r="DY18" s="369" t="s">
        <v>91</v>
      </c>
      <c r="DZ18" s="369" t="s">
        <v>91</v>
      </c>
      <c r="EA18" s="369" t="s">
        <v>92</v>
      </c>
      <c r="EB18" s="369" t="s">
        <v>91</v>
      </c>
      <c r="EC18" s="369" t="s">
        <v>91</v>
      </c>
      <c r="ED18" s="2032" t="s">
        <v>91</v>
      </c>
      <c r="EE18" s="2042" t="s">
        <v>91</v>
      </c>
      <c r="EF18" s="2043" t="s">
        <v>92</v>
      </c>
      <c r="EG18" s="2043" t="s">
        <v>92</v>
      </c>
      <c r="EH18" s="2044" t="s">
        <v>91</v>
      </c>
      <c r="EI18" s="2045" t="s">
        <v>91</v>
      </c>
    </row>
    <row r="19" ht="18.75" customHeight="1">
      <c r="A19" s="158"/>
      <c r="B19" s="177" t="s">
        <v>24</v>
      </c>
      <c r="C19" s="178" t="s">
        <v>106</v>
      </c>
      <c r="D19" s="369" t="s">
        <v>92</v>
      </c>
      <c r="E19" s="369" t="s">
        <v>91</v>
      </c>
      <c r="F19" s="369" t="s">
        <v>91</v>
      </c>
      <c r="G19" s="369" t="s">
        <v>91</v>
      </c>
      <c r="H19" s="369" t="s">
        <v>91</v>
      </c>
      <c r="I19" s="2032" t="s">
        <v>61</v>
      </c>
      <c r="J19" s="369" t="s">
        <v>92</v>
      </c>
      <c r="K19" s="369" t="s">
        <v>92</v>
      </c>
      <c r="L19" s="369" t="s">
        <v>92</v>
      </c>
      <c r="M19" s="369" t="s">
        <v>91</v>
      </c>
      <c r="N19" s="369" t="s">
        <v>91</v>
      </c>
      <c r="O19" s="2032" t="s">
        <v>92</v>
      </c>
      <c r="P19" s="369" t="s">
        <v>92</v>
      </c>
      <c r="Q19" s="369" t="s">
        <v>92</v>
      </c>
      <c r="R19" s="369" t="s">
        <v>92</v>
      </c>
      <c r="S19" s="369" t="s">
        <v>92</v>
      </c>
      <c r="T19" s="369" t="s">
        <v>91</v>
      </c>
      <c r="U19" s="369" t="s">
        <v>91</v>
      </c>
      <c r="V19" s="369" t="s">
        <v>91</v>
      </c>
      <c r="W19" s="2032" t="s">
        <v>92</v>
      </c>
      <c r="X19" s="369" t="s">
        <v>92</v>
      </c>
      <c r="Y19" s="369" t="s">
        <v>91</v>
      </c>
      <c r="Z19" s="369" t="s">
        <v>92</v>
      </c>
      <c r="AA19" s="369" t="s">
        <v>92</v>
      </c>
      <c r="AB19" s="369" t="s">
        <v>91</v>
      </c>
      <c r="AC19" s="369" t="s">
        <v>92</v>
      </c>
      <c r="AD19" s="2032" t="s">
        <v>91</v>
      </c>
      <c r="AE19" s="369" t="s">
        <v>92</v>
      </c>
      <c r="AF19" s="369" t="s">
        <v>92</v>
      </c>
      <c r="AG19" s="369" t="s">
        <v>91</v>
      </c>
      <c r="AH19" s="369" t="s">
        <v>92</v>
      </c>
      <c r="AI19" s="369" t="s">
        <v>92</v>
      </c>
      <c r="AJ19" s="369" t="s">
        <v>91</v>
      </c>
      <c r="AK19" s="369" t="s">
        <v>91</v>
      </c>
      <c r="AL19" s="369" t="s">
        <v>91</v>
      </c>
      <c r="AM19" s="2032" t="s">
        <v>91</v>
      </c>
      <c r="AN19" s="369" t="s">
        <v>1702</v>
      </c>
      <c r="AO19" s="369" t="s">
        <v>1702</v>
      </c>
      <c r="AP19" s="2033" t="s">
        <v>1702</v>
      </c>
      <c r="AQ19" s="2033" t="s">
        <v>1703</v>
      </c>
      <c r="AR19" s="2033" t="s">
        <v>1702</v>
      </c>
      <c r="AS19" s="2033" t="s">
        <v>1702</v>
      </c>
      <c r="AT19" s="2033" t="s">
        <v>1703</v>
      </c>
      <c r="AU19" s="2033" t="s">
        <v>1703</v>
      </c>
      <c r="AV19" s="2034" t="s">
        <v>1703</v>
      </c>
      <c r="AW19" s="2033" t="s">
        <v>1702</v>
      </c>
      <c r="AX19" s="369" t="s">
        <v>1703</v>
      </c>
      <c r="AY19" s="369" t="s">
        <v>1702</v>
      </c>
      <c r="AZ19" s="369" t="s">
        <v>1703</v>
      </c>
      <c r="BA19" s="369" t="s">
        <v>1702</v>
      </c>
      <c r="BB19" s="369" t="s">
        <v>1703</v>
      </c>
      <c r="BC19" s="2032" t="s">
        <v>1702</v>
      </c>
      <c r="BD19" s="2033" t="s">
        <v>92</v>
      </c>
      <c r="BE19" s="2033" t="s">
        <v>92</v>
      </c>
      <c r="BF19" s="2033" t="s">
        <v>92</v>
      </c>
      <c r="BG19" s="2033" t="s">
        <v>92</v>
      </c>
      <c r="BH19" s="2033" t="s">
        <v>92</v>
      </c>
      <c r="BI19" s="2033" t="s">
        <v>92</v>
      </c>
      <c r="BJ19" s="2033" t="s">
        <v>92</v>
      </c>
      <c r="BK19" s="2033" t="s">
        <v>92</v>
      </c>
      <c r="BL19" s="2033" t="s">
        <v>92</v>
      </c>
      <c r="BM19" s="369" t="s">
        <v>91</v>
      </c>
      <c r="BN19" s="369" t="s">
        <v>91</v>
      </c>
      <c r="BO19" s="2033" t="s">
        <v>92</v>
      </c>
      <c r="BP19" s="2033" t="s">
        <v>92</v>
      </c>
      <c r="BQ19" s="2032" t="s">
        <v>91</v>
      </c>
      <c r="BR19" s="2038" t="s">
        <v>91</v>
      </c>
      <c r="BS19" s="2064" t="s">
        <v>92</v>
      </c>
      <c r="BT19" s="2064" t="s">
        <v>92</v>
      </c>
      <c r="BU19" s="2039" t="s">
        <v>91</v>
      </c>
      <c r="BV19" s="2039" t="s">
        <v>91</v>
      </c>
      <c r="BW19" s="2039" t="s">
        <v>91</v>
      </c>
      <c r="BX19" s="2039" t="s">
        <v>91</v>
      </c>
      <c r="BY19" s="2039" t="s">
        <v>91</v>
      </c>
      <c r="BZ19" s="2064" t="s">
        <v>92</v>
      </c>
      <c r="CA19" s="2039" t="s">
        <v>91</v>
      </c>
      <c r="CB19" s="2039" t="s">
        <v>91</v>
      </c>
      <c r="CC19" s="2040" t="s">
        <v>92</v>
      </c>
      <c r="CD19" s="369" t="s">
        <v>1703</v>
      </c>
      <c r="CE19" s="369" t="s">
        <v>1702</v>
      </c>
      <c r="CF19" s="369" t="s">
        <v>1702</v>
      </c>
      <c r="CG19" s="369" t="s">
        <v>1703</v>
      </c>
      <c r="CH19" s="369" t="s">
        <v>1702</v>
      </c>
      <c r="CI19" s="369" t="s">
        <v>1703</v>
      </c>
      <c r="CJ19" s="369" t="s">
        <v>1702</v>
      </c>
      <c r="CK19" s="369" t="s">
        <v>1702</v>
      </c>
      <c r="CL19" s="369" t="s">
        <v>1702</v>
      </c>
      <c r="CM19" s="2038" t="s">
        <v>91</v>
      </c>
      <c r="CN19" s="2039" t="s">
        <v>91</v>
      </c>
      <c r="CO19" s="2039" t="s">
        <v>91</v>
      </c>
      <c r="CP19" s="2064" t="s">
        <v>92</v>
      </c>
      <c r="CQ19" s="2039" t="s">
        <v>91</v>
      </c>
      <c r="CR19" s="2040" t="s">
        <v>92</v>
      </c>
      <c r="CS19" s="369" t="s">
        <v>91</v>
      </c>
      <c r="CT19" s="369" t="s">
        <v>91</v>
      </c>
      <c r="CU19" s="369" t="s">
        <v>91</v>
      </c>
      <c r="CV19" s="369" t="s">
        <v>91</v>
      </c>
      <c r="CW19" s="369" t="s">
        <v>91</v>
      </c>
      <c r="CX19" s="369" t="s">
        <v>91</v>
      </c>
      <c r="CY19" s="2032" t="s">
        <v>91</v>
      </c>
      <c r="CZ19" s="369" t="s">
        <v>91</v>
      </c>
      <c r="DA19" s="369" t="s">
        <v>91</v>
      </c>
      <c r="DB19" s="369" t="s">
        <v>91</v>
      </c>
      <c r="DC19" s="369" t="s">
        <v>92</v>
      </c>
      <c r="DD19" s="369" t="s">
        <v>91</v>
      </c>
      <c r="DE19" s="369" t="s">
        <v>92</v>
      </c>
      <c r="DF19" s="369" t="s">
        <v>91</v>
      </c>
      <c r="DG19" s="2032" t="s">
        <v>91</v>
      </c>
      <c r="DH19" s="369" t="s">
        <v>91</v>
      </c>
      <c r="DI19" s="2041" t="s">
        <v>91</v>
      </c>
      <c r="DJ19" s="369" t="s">
        <v>91</v>
      </c>
      <c r="DK19" s="369" t="s">
        <v>92</v>
      </c>
      <c r="DL19" s="2032" t="s">
        <v>92</v>
      </c>
      <c r="DM19" s="369" t="s">
        <v>91</v>
      </c>
      <c r="DN19" s="369" t="s">
        <v>117</v>
      </c>
      <c r="DO19" s="369" t="s">
        <v>92</v>
      </c>
      <c r="DP19" s="2032" t="s">
        <v>91</v>
      </c>
      <c r="DQ19" s="369" t="s">
        <v>91</v>
      </c>
      <c r="DR19" s="369" t="s">
        <v>92</v>
      </c>
      <c r="DS19" s="2032" t="s">
        <v>91</v>
      </c>
      <c r="DT19" s="369" t="s">
        <v>92</v>
      </c>
      <c r="DU19" s="369" t="s">
        <v>91</v>
      </c>
      <c r="DV19" s="369" t="s">
        <v>91</v>
      </c>
      <c r="DW19" s="369" t="s">
        <v>91</v>
      </c>
      <c r="DX19" s="2032" t="s">
        <v>91</v>
      </c>
      <c r="DY19" s="369" t="s">
        <v>91</v>
      </c>
      <c r="DZ19" s="369" t="s">
        <v>91</v>
      </c>
      <c r="EA19" s="369" t="s">
        <v>92</v>
      </c>
      <c r="EB19" s="369" t="s">
        <v>92</v>
      </c>
      <c r="EC19" s="369" t="s">
        <v>91</v>
      </c>
      <c r="ED19" s="369" t="s">
        <v>91</v>
      </c>
      <c r="EE19" s="2042" t="s">
        <v>91</v>
      </c>
      <c r="EF19" s="2043" t="s">
        <v>92</v>
      </c>
      <c r="EG19" s="2044" t="s">
        <v>91</v>
      </c>
      <c r="EH19" s="2044" t="s">
        <v>91</v>
      </c>
      <c r="EI19" s="2045" t="s">
        <v>91</v>
      </c>
    </row>
    <row r="20" ht="18.75" customHeight="1">
      <c r="A20" s="158"/>
      <c r="B20" s="135"/>
      <c r="C20" s="179" t="s">
        <v>107</v>
      </c>
      <c r="D20" s="369" t="s">
        <v>91</v>
      </c>
      <c r="E20" s="369" t="s">
        <v>91</v>
      </c>
      <c r="F20" s="369" t="s">
        <v>91</v>
      </c>
      <c r="G20" s="369" t="s">
        <v>91</v>
      </c>
      <c r="H20" s="369" t="s">
        <v>91</v>
      </c>
      <c r="I20" s="2032" t="s">
        <v>61</v>
      </c>
      <c r="J20" s="369" t="s">
        <v>92</v>
      </c>
      <c r="K20" s="369" t="s">
        <v>92</v>
      </c>
      <c r="L20" s="369" t="s">
        <v>92</v>
      </c>
      <c r="M20" s="369" t="s">
        <v>91</v>
      </c>
      <c r="N20" s="369" t="s">
        <v>92</v>
      </c>
      <c r="O20" s="2032" t="s">
        <v>92</v>
      </c>
      <c r="P20" s="369" t="s">
        <v>92</v>
      </c>
      <c r="Q20" s="369" t="s">
        <v>92</v>
      </c>
      <c r="R20" s="369" t="s">
        <v>92</v>
      </c>
      <c r="S20" s="369" t="s">
        <v>92</v>
      </c>
      <c r="T20" s="369" t="s">
        <v>91</v>
      </c>
      <c r="U20" s="369" t="s">
        <v>92</v>
      </c>
      <c r="V20" s="369" t="s">
        <v>91</v>
      </c>
      <c r="W20" s="2032" t="s">
        <v>92</v>
      </c>
      <c r="X20" s="369" t="s">
        <v>92</v>
      </c>
      <c r="Y20" s="369" t="s">
        <v>91</v>
      </c>
      <c r="Z20" s="369" t="s">
        <v>92</v>
      </c>
      <c r="AA20" s="369" t="s">
        <v>92</v>
      </c>
      <c r="AB20" s="369" t="s">
        <v>91</v>
      </c>
      <c r="AC20" s="369" t="s">
        <v>92</v>
      </c>
      <c r="AD20" s="2032" t="s">
        <v>91</v>
      </c>
      <c r="AE20" s="369" t="s">
        <v>92</v>
      </c>
      <c r="AF20" s="369" t="s">
        <v>92</v>
      </c>
      <c r="AG20" s="369" t="s">
        <v>91</v>
      </c>
      <c r="AH20" s="369" t="s">
        <v>92</v>
      </c>
      <c r="AI20" s="369" t="s">
        <v>92</v>
      </c>
      <c r="AJ20" s="369" t="s">
        <v>91</v>
      </c>
      <c r="AK20" s="369" t="s">
        <v>91</v>
      </c>
      <c r="AL20" s="369" t="s">
        <v>91</v>
      </c>
      <c r="AM20" s="2032" t="s">
        <v>91</v>
      </c>
      <c r="AN20" s="369" t="s">
        <v>1702</v>
      </c>
      <c r="AO20" s="369" t="s">
        <v>1702</v>
      </c>
      <c r="AP20" s="2033" t="s">
        <v>1702</v>
      </c>
      <c r="AQ20" s="2033" t="s">
        <v>1703</v>
      </c>
      <c r="AR20" s="2033" t="s">
        <v>1702</v>
      </c>
      <c r="AS20" s="2033" t="s">
        <v>1702</v>
      </c>
      <c r="AT20" s="2033" t="s">
        <v>1703</v>
      </c>
      <c r="AU20" s="2033" t="s">
        <v>1703</v>
      </c>
      <c r="AV20" s="2034" t="s">
        <v>1703</v>
      </c>
      <c r="AW20" s="2033" t="s">
        <v>1702</v>
      </c>
      <c r="AX20" s="369" t="s">
        <v>1702</v>
      </c>
      <c r="AY20" s="369" t="s">
        <v>1702</v>
      </c>
      <c r="AZ20" s="369" t="s">
        <v>1703</v>
      </c>
      <c r="BA20" s="369" t="s">
        <v>1702</v>
      </c>
      <c r="BB20" s="369" t="s">
        <v>1703</v>
      </c>
      <c r="BC20" s="2032" t="s">
        <v>1703</v>
      </c>
      <c r="BD20" s="2033" t="s">
        <v>91</v>
      </c>
      <c r="BE20" s="2033" t="s">
        <v>92</v>
      </c>
      <c r="BF20" s="2033" t="s">
        <v>91</v>
      </c>
      <c r="BG20" s="2033" t="s">
        <v>92</v>
      </c>
      <c r="BH20" s="2033" t="s">
        <v>92</v>
      </c>
      <c r="BI20" s="2033" t="s">
        <v>91</v>
      </c>
      <c r="BJ20" s="2033" t="s">
        <v>92</v>
      </c>
      <c r="BK20" s="2033" t="s">
        <v>92</v>
      </c>
      <c r="BL20" s="2033" t="s">
        <v>92</v>
      </c>
      <c r="BM20" s="369" t="s">
        <v>91</v>
      </c>
      <c r="BN20" s="369" t="s">
        <v>91</v>
      </c>
      <c r="BO20" s="2033" t="s">
        <v>92</v>
      </c>
      <c r="BP20" s="369" t="s">
        <v>91</v>
      </c>
      <c r="BQ20" s="2032" t="s">
        <v>91</v>
      </c>
      <c r="BR20" s="2050" t="s">
        <v>91</v>
      </c>
      <c r="BS20" s="2051" t="s">
        <v>92</v>
      </c>
      <c r="BT20" s="2051" t="s">
        <v>92</v>
      </c>
      <c r="BU20" s="2051" t="s">
        <v>91</v>
      </c>
      <c r="BV20" s="2051" t="s">
        <v>91</v>
      </c>
      <c r="BW20" s="2051" t="s">
        <v>91</v>
      </c>
      <c r="BX20" s="2051" t="s">
        <v>91</v>
      </c>
      <c r="BY20" s="2051" t="s">
        <v>91</v>
      </c>
      <c r="BZ20" s="2051" t="s">
        <v>91</v>
      </c>
      <c r="CA20" s="2051" t="s">
        <v>91</v>
      </c>
      <c r="CB20" s="2051" t="s">
        <v>91</v>
      </c>
      <c r="CC20" s="2052" t="s">
        <v>91</v>
      </c>
      <c r="CD20" s="369" t="s">
        <v>1703</v>
      </c>
      <c r="CE20" s="369" t="s">
        <v>1702</v>
      </c>
      <c r="CF20" s="369" t="s">
        <v>1702</v>
      </c>
      <c r="CG20" s="369" t="s">
        <v>1703</v>
      </c>
      <c r="CH20" s="369" t="s">
        <v>1702</v>
      </c>
      <c r="CI20" s="369" t="s">
        <v>1703</v>
      </c>
      <c r="CJ20" s="369" t="s">
        <v>1702</v>
      </c>
      <c r="CK20" s="369" t="s">
        <v>1702</v>
      </c>
      <c r="CL20" s="369" t="s">
        <v>1702</v>
      </c>
      <c r="CM20" s="2038" t="s">
        <v>91</v>
      </c>
      <c r="CN20" s="2039" t="s">
        <v>91</v>
      </c>
      <c r="CO20" s="2039" t="s">
        <v>91</v>
      </c>
      <c r="CP20" s="2064" t="s">
        <v>92</v>
      </c>
      <c r="CQ20" s="2039" t="s">
        <v>91</v>
      </c>
      <c r="CR20" s="2040" t="s">
        <v>92</v>
      </c>
      <c r="CS20" s="369" t="s">
        <v>91</v>
      </c>
      <c r="CT20" s="369" t="s">
        <v>91</v>
      </c>
      <c r="CU20" s="369" t="s">
        <v>91</v>
      </c>
      <c r="CV20" s="369" t="s">
        <v>91</v>
      </c>
      <c r="CW20" s="369" t="s">
        <v>91</v>
      </c>
      <c r="CX20" s="369" t="s">
        <v>91</v>
      </c>
      <c r="CY20" s="2032" t="s">
        <v>91</v>
      </c>
      <c r="CZ20" s="369" t="s">
        <v>91</v>
      </c>
      <c r="DA20" s="369" t="s">
        <v>91</v>
      </c>
      <c r="DB20" s="369" t="s">
        <v>91</v>
      </c>
      <c r="DC20" s="369" t="s">
        <v>92</v>
      </c>
      <c r="DD20" s="369" t="s">
        <v>91</v>
      </c>
      <c r="DE20" s="369" t="s">
        <v>92</v>
      </c>
      <c r="DF20" s="369" t="s">
        <v>91</v>
      </c>
      <c r="DG20" s="2032" t="s">
        <v>91</v>
      </c>
      <c r="DH20" s="369" t="s">
        <v>91</v>
      </c>
      <c r="DI20" s="2041" t="s">
        <v>91</v>
      </c>
      <c r="DJ20" s="369" t="s">
        <v>91</v>
      </c>
      <c r="DK20" s="369" t="s">
        <v>92</v>
      </c>
      <c r="DL20" s="2032" t="s">
        <v>92</v>
      </c>
      <c r="DM20" s="369" t="s">
        <v>91</v>
      </c>
      <c r="DN20" s="369" t="s">
        <v>117</v>
      </c>
      <c r="DO20" s="369" t="s">
        <v>92</v>
      </c>
      <c r="DP20" s="2032" t="s">
        <v>91</v>
      </c>
      <c r="DQ20" s="369" t="s">
        <v>91</v>
      </c>
      <c r="DR20" s="369" t="s">
        <v>92</v>
      </c>
      <c r="DS20" s="2032" t="s">
        <v>91</v>
      </c>
      <c r="DT20" s="369" t="s">
        <v>92</v>
      </c>
      <c r="DU20" s="369" t="s">
        <v>91</v>
      </c>
      <c r="DV20" s="369" t="s">
        <v>91</v>
      </c>
      <c r="DW20" s="369" t="s">
        <v>91</v>
      </c>
      <c r="DX20" s="2032" t="s">
        <v>91</v>
      </c>
      <c r="DY20" s="369" t="s">
        <v>91</v>
      </c>
      <c r="DZ20" s="369" t="s">
        <v>91</v>
      </c>
      <c r="EA20" s="369" t="s">
        <v>92</v>
      </c>
      <c r="EB20" s="369" t="s">
        <v>91</v>
      </c>
      <c r="EC20" s="369" t="s">
        <v>91</v>
      </c>
      <c r="ED20" s="369" t="s">
        <v>91</v>
      </c>
      <c r="EE20" s="2042" t="s">
        <v>91</v>
      </c>
      <c r="EF20" s="2043" t="s">
        <v>92</v>
      </c>
      <c r="EG20" s="2044" t="s">
        <v>91</v>
      </c>
      <c r="EH20" s="2044" t="s">
        <v>91</v>
      </c>
      <c r="EI20" s="2045" t="s">
        <v>91</v>
      </c>
    </row>
    <row r="21" ht="18.75" customHeight="1">
      <c r="A21" s="158"/>
      <c r="B21" s="135"/>
      <c r="C21" s="179" t="s">
        <v>108</v>
      </c>
      <c r="D21" s="369" t="s">
        <v>91</v>
      </c>
      <c r="E21" s="369" t="s">
        <v>91</v>
      </c>
      <c r="F21" s="369" t="s">
        <v>91</v>
      </c>
      <c r="G21" s="369" t="s">
        <v>91</v>
      </c>
      <c r="H21" s="369" t="s">
        <v>91</v>
      </c>
      <c r="I21" s="2032" t="s">
        <v>61</v>
      </c>
      <c r="J21" s="369" t="s">
        <v>92</v>
      </c>
      <c r="K21" s="369" t="s">
        <v>92</v>
      </c>
      <c r="L21" s="369" t="s">
        <v>92</v>
      </c>
      <c r="M21" s="369" t="s">
        <v>91</v>
      </c>
      <c r="N21" s="369" t="s">
        <v>92</v>
      </c>
      <c r="O21" s="2032" t="s">
        <v>92</v>
      </c>
      <c r="P21" s="369" t="s">
        <v>92</v>
      </c>
      <c r="Q21" s="369" t="s">
        <v>92</v>
      </c>
      <c r="R21" s="369" t="s">
        <v>92</v>
      </c>
      <c r="S21" s="369" t="s">
        <v>92</v>
      </c>
      <c r="T21" s="369" t="s">
        <v>91</v>
      </c>
      <c r="U21" s="369" t="s">
        <v>92</v>
      </c>
      <c r="V21" s="369" t="s">
        <v>92</v>
      </c>
      <c r="W21" s="2032" t="s">
        <v>92</v>
      </c>
      <c r="X21" s="369" t="s">
        <v>92</v>
      </c>
      <c r="Y21" s="369" t="s">
        <v>91</v>
      </c>
      <c r="Z21" s="369" t="s">
        <v>92</v>
      </c>
      <c r="AA21" s="369" t="s">
        <v>92</v>
      </c>
      <c r="AB21" s="369" t="s">
        <v>91</v>
      </c>
      <c r="AC21" s="369" t="s">
        <v>92</v>
      </c>
      <c r="AD21" s="2032" t="s">
        <v>91</v>
      </c>
      <c r="AE21" s="369" t="s">
        <v>92</v>
      </c>
      <c r="AF21" s="369" t="s">
        <v>92</v>
      </c>
      <c r="AG21" s="369" t="s">
        <v>91</v>
      </c>
      <c r="AH21" s="369" t="s">
        <v>92</v>
      </c>
      <c r="AI21" s="369" t="s">
        <v>91</v>
      </c>
      <c r="AJ21" s="369" t="s">
        <v>91</v>
      </c>
      <c r="AK21" s="369" t="s">
        <v>91</v>
      </c>
      <c r="AL21" s="369" t="s">
        <v>91</v>
      </c>
      <c r="AM21" s="2032" t="s">
        <v>91</v>
      </c>
      <c r="AN21" s="369" t="s">
        <v>1702</v>
      </c>
      <c r="AO21" s="369" t="s">
        <v>1702</v>
      </c>
      <c r="AP21" s="2033" t="s">
        <v>1702</v>
      </c>
      <c r="AQ21" s="2033" t="s">
        <v>1703</v>
      </c>
      <c r="AR21" s="2033" t="s">
        <v>1702</v>
      </c>
      <c r="AS21" s="2033" t="s">
        <v>1702</v>
      </c>
      <c r="AT21" s="2033" t="s">
        <v>1703</v>
      </c>
      <c r="AU21" s="2033" t="s">
        <v>1703</v>
      </c>
      <c r="AV21" s="2034" t="s">
        <v>1703</v>
      </c>
      <c r="AW21" s="2033" t="s">
        <v>1702</v>
      </c>
      <c r="AX21" s="369" t="s">
        <v>1702</v>
      </c>
      <c r="AY21" s="369" t="s">
        <v>1702</v>
      </c>
      <c r="AZ21" s="369" t="s">
        <v>1703</v>
      </c>
      <c r="BA21" s="369" t="s">
        <v>1702</v>
      </c>
      <c r="BB21" s="369" t="s">
        <v>1703</v>
      </c>
      <c r="BC21" s="2032" t="s">
        <v>1703</v>
      </c>
      <c r="BD21" s="2033" t="s">
        <v>92</v>
      </c>
      <c r="BE21" s="2033" t="s">
        <v>92</v>
      </c>
      <c r="BF21" s="2033" t="s">
        <v>91</v>
      </c>
      <c r="BG21" s="2033" t="s">
        <v>92</v>
      </c>
      <c r="BH21" s="2033" t="s">
        <v>117</v>
      </c>
      <c r="BI21" s="2033" t="s">
        <v>91</v>
      </c>
      <c r="BJ21" s="2033" t="s">
        <v>117</v>
      </c>
      <c r="BK21" s="369" t="s">
        <v>92</v>
      </c>
      <c r="BL21" s="369" t="s">
        <v>92</v>
      </c>
      <c r="BM21" s="369" t="s">
        <v>91</v>
      </c>
      <c r="BN21" s="369" t="s">
        <v>91</v>
      </c>
      <c r="BO21" s="369" t="s">
        <v>92</v>
      </c>
      <c r="BP21" s="369" t="s">
        <v>91</v>
      </c>
      <c r="BQ21" s="2032" t="s">
        <v>91</v>
      </c>
      <c r="BR21" s="2038" t="s">
        <v>91</v>
      </c>
      <c r="BS21" s="2064" t="s">
        <v>92</v>
      </c>
      <c r="BT21" s="2064" t="s">
        <v>92</v>
      </c>
      <c r="BU21" s="2039" t="s">
        <v>91</v>
      </c>
      <c r="BV21" s="2039" t="s">
        <v>91</v>
      </c>
      <c r="BW21" s="2039" t="s">
        <v>91</v>
      </c>
      <c r="BX21" s="2039" t="s">
        <v>91</v>
      </c>
      <c r="BY21" s="2039" t="s">
        <v>91</v>
      </c>
      <c r="BZ21" s="2039" t="s">
        <v>91</v>
      </c>
      <c r="CA21" s="2039" t="s">
        <v>91</v>
      </c>
      <c r="CB21" s="2039" t="s">
        <v>91</v>
      </c>
      <c r="CC21" s="2062" t="s">
        <v>91</v>
      </c>
      <c r="CD21" s="369" t="s">
        <v>1703</v>
      </c>
      <c r="CE21" s="369" t="s">
        <v>1703</v>
      </c>
      <c r="CF21" s="369" t="s">
        <v>1702</v>
      </c>
      <c r="CG21" s="369" t="s">
        <v>1703</v>
      </c>
      <c r="CH21" s="369" t="s">
        <v>1702</v>
      </c>
      <c r="CI21" s="369" t="s">
        <v>1703</v>
      </c>
      <c r="CJ21" s="369" t="s">
        <v>1702</v>
      </c>
      <c r="CK21" s="369" t="s">
        <v>1702</v>
      </c>
      <c r="CL21" s="369" t="s">
        <v>1702</v>
      </c>
      <c r="CM21" s="2038" t="s">
        <v>91</v>
      </c>
      <c r="CN21" s="2064" t="s">
        <v>92</v>
      </c>
      <c r="CO21" s="2064" t="s">
        <v>92</v>
      </c>
      <c r="CP21" s="2064" t="s">
        <v>92</v>
      </c>
      <c r="CQ21" s="2039" t="s">
        <v>91</v>
      </c>
      <c r="CR21" s="2040" t="s">
        <v>92</v>
      </c>
      <c r="CS21" s="369" t="s">
        <v>91</v>
      </c>
      <c r="CT21" s="369" t="s">
        <v>92</v>
      </c>
      <c r="CU21" s="369" t="s">
        <v>91</v>
      </c>
      <c r="CV21" s="369" t="s">
        <v>91</v>
      </c>
      <c r="CW21" s="369" t="s">
        <v>91</v>
      </c>
      <c r="CX21" s="369" t="s">
        <v>91</v>
      </c>
      <c r="CY21" s="2032" t="s">
        <v>91</v>
      </c>
      <c r="CZ21" s="369" t="s">
        <v>91</v>
      </c>
      <c r="DA21" s="369" t="s">
        <v>91</v>
      </c>
      <c r="DB21" s="369" t="s">
        <v>91</v>
      </c>
      <c r="DC21" s="369" t="s">
        <v>92</v>
      </c>
      <c r="DD21" s="369" t="s">
        <v>91</v>
      </c>
      <c r="DE21" s="369" t="s">
        <v>92</v>
      </c>
      <c r="DF21" s="369" t="s">
        <v>91</v>
      </c>
      <c r="DG21" s="2032" t="s">
        <v>91</v>
      </c>
      <c r="DH21" s="369" t="s">
        <v>117</v>
      </c>
      <c r="DI21" s="2041" t="s">
        <v>91</v>
      </c>
      <c r="DJ21" s="369" t="s">
        <v>91</v>
      </c>
      <c r="DK21" s="369" t="s">
        <v>91</v>
      </c>
      <c r="DL21" s="2032" t="s">
        <v>92</v>
      </c>
      <c r="DM21" s="369" t="s">
        <v>91</v>
      </c>
      <c r="DN21" s="369" t="s">
        <v>117</v>
      </c>
      <c r="DO21" s="369" t="s">
        <v>92</v>
      </c>
      <c r="DP21" s="2032" t="s">
        <v>91</v>
      </c>
      <c r="DQ21" s="369" t="s">
        <v>91</v>
      </c>
      <c r="DR21" s="369" t="s">
        <v>117</v>
      </c>
      <c r="DS21" s="2032" t="s">
        <v>91</v>
      </c>
      <c r="DT21" s="369" t="s">
        <v>92</v>
      </c>
      <c r="DU21" s="369" t="s">
        <v>91</v>
      </c>
      <c r="DV21" s="369" t="s">
        <v>91</v>
      </c>
      <c r="DW21" s="369" t="s">
        <v>91</v>
      </c>
      <c r="DX21" s="2032" t="s">
        <v>91</v>
      </c>
      <c r="DY21" s="369" t="s">
        <v>91</v>
      </c>
      <c r="DZ21" s="369" t="s">
        <v>91</v>
      </c>
      <c r="EA21" s="369" t="s">
        <v>92</v>
      </c>
      <c r="EB21" s="369" t="s">
        <v>91</v>
      </c>
      <c r="EC21" s="369" t="s">
        <v>91</v>
      </c>
      <c r="ED21" s="369" t="s">
        <v>91</v>
      </c>
      <c r="EE21" s="2042" t="s">
        <v>91</v>
      </c>
      <c r="EF21" s="2043" t="s">
        <v>92</v>
      </c>
      <c r="EG21" s="2043" t="s">
        <v>92</v>
      </c>
      <c r="EH21" s="2044" t="s">
        <v>91</v>
      </c>
      <c r="EI21" s="165" t="s">
        <v>92</v>
      </c>
    </row>
    <row r="22" ht="18.75" customHeight="1">
      <c r="A22" s="158"/>
      <c r="B22" s="135"/>
      <c r="C22" s="179" t="s">
        <v>25</v>
      </c>
      <c r="D22" s="369" t="s">
        <v>118</v>
      </c>
      <c r="E22" s="369" t="s">
        <v>118</v>
      </c>
      <c r="F22" s="369" t="s">
        <v>118</v>
      </c>
      <c r="G22" s="369" t="s">
        <v>118</v>
      </c>
      <c r="H22" s="369" t="s">
        <v>118</v>
      </c>
      <c r="I22" s="2032" t="s">
        <v>118</v>
      </c>
      <c r="J22" s="369" t="s">
        <v>118</v>
      </c>
      <c r="K22" s="369" t="s">
        <v>118</v>
      </c>
      <c r="L22" s="369" t="s">
        <v>118</v>
      </c>
      <c r="M22" s="369" t="s">
        <v>118</v>
      </c>
      <c r="N22" s="369" t="s">
        <v>118</v>
      </c>
      <c r="O22" s="2032" t="s">
        <v>118</v>
      </c>
      <c r="P22" s="369" t="s">
        <v>118</v>
      </c>
      <c r="Q22" s="369" t="s">
        <v>118</v>
      </c>
      <c r="R22" s="369" t="s">
        <v>118</v>
      </c>
      <c r="S22" s="369" t="s">
        <v>118</v>
      </c>
      <c r="T22" s="369" t="s">
        <v>118</v>
      </c>
      <c r="U22" s="369" t="s">
        <v>118</v>
      </c>
      <c r="V22" s="369" t="s">
        <v>118</v>
      </c>
      <c r="W22" s="2032" t="s">
        <v>118</v>
      </c>
      <c r="X22" s="369" t="s">
        <v>118</v>
      </c>
      <c r="Y22" s="369" t="s">
        <v>118</v>
      </c>
      <c r="Z22" s="369" t="s">
        <v>118</v>
      </c>
      <c r="AA22" s="369" t="s">
        <v>118</v>
      </c>
      <c r="AB22" s="369" t="s">
        <v>118</v>
      </c>
      <c r="AC22" s="369" t="s">
        <v>118</v>
      </c>
      <c r="AD22" s="2032" t="s">
        <v>118</v>
      </c>
      <c r="AE22" s="369" t="s">
        <v>118</v>
      </c>
      <c r="AF22" s="369" t="s">
        <v>118</v>
      </c>
      <c r="AG22" s="369" t="s">
        <v>118</v>
      </c>
      <c r="AH22" s="369" t="s">
        <v>118</v>
      </c>
      <c r="AI22" s="369" t="s">
        <v>118</v>
      </c>
      <c r="AJ22" s="369" t="s">
        <v>118</v>
      </c>
      <c r="AK22" s="369" t="s">
        <v>118</v>
      </c>
      <c r="AL22" s="369" t="s">
        <v>118</v>
      </c>
      <c r="AM22" s="2032" t="s">
        <v>118</v>
      </c>
      <c r="AN22" s="369" t="s">
        <v>118</v>
      </c>
      <c r="AO22" s="369" t="s">
        <v>118</v>
      </c>
      <c r="AP22" s="369" t="s">
        <v>118</v>
      </c>
      <c r="AQ22" s="369" t="s">
        <v>118</v>
      </c>
      <c r="AR22" s="369" t="s">
        <v>118</v>
      </c>
      <c r="AS22" s="369" t="s">
        <v>118</v>
      </c>
      <c r="AT22" s="369" t="s">
        <v>118</v>
      </c>
      <c r="AU22" s="369" t="s">
        <v>118</v>
      </c>
      <c r="AV22" s="2032" t="s">
        <v>118</v>
      </c>
      <c r="AW22" s="2033" t="s">
        <v>1702</v>
      </c>
      <c r="AX22" s="369" t="s">
        <v>1702</v>
      </c>
      <c r="AY22" s="369" t="s">
        <v>1702</v>
      </c>
      <c r="AZ22" s="369" t="s">
        <v>1703</v>
      </c>
      <c r="BA22" s="369" t="s">
        <v>1702</v>
      </c>
      <c r="BB22" s="369" t="s">
        <v>1703</v>
      </c>
      <c r="BC22" s="2032" t="s">
        <v>1703</v>
      </c>
      <c r="BD22" s="2033" t="s">
        <v>91</v>
      </c>
      <c r="BE22" s="2033" t="s">
        <v>92</v>
      </c>
      <c r="BF22" s="2033" t="s">
        <v>91</v>
      </c>
      <c r="BG22" s="2033" t="s">
        <v>92</v>
      </c>
      <c r="BH22" s="2033" t="s">
        <v>92</v>
      </c>
      <c r="BI22" s="2033" t="s">
        <v>91</v>
      </c>
      <c r="BJ22" s="2033" t="s">
        <v>92</v>
      </c>
      <c r="BK22" s="2033" t="s">
        <v>92</v>
      </c>
      <c r="BL22" s="2033" t="s">
        <v>92</v>
      </c>
      <c r="BM22" s="369" t="s">
        <v>91</v>
      </c>
      <c r="BN22" s="369" t="s">
        <v>91</v>
      </c>
      <c r="BO22" s="2033" t="s">
        <v>92</v>
      </c>
      <c r="BP22" s="369" t="s">
        <v>91</v>
      </c>
      <c r="BQ22" s="2032" t="s">
        <v>91</v>
      </c>
      <c r="BR22" s="2038" t="s">
        <v>91</v>
      </c>
      <c r="BS22" s="2064" t="s">
        <v>92</v>
      </c>
      <c r="BT22" s="2064" t="s">
        <v>92</v>
      </c>
      <c r="BU22" s="2039" t="s">
        <v>91</v>
      </c>
      <c r="BV22" s="2039" t="s">
        <v>91</v>
      </c>
      <c r="BW22" s="2039" t="s">
        <v>91</v>
      </c>
      <c r="BX22" s="2039" t="s">
        <v>91</v>
      </c>
      <c r="BY22" s="2039" t="s">
        <v>91</v>
      </c>
      <c r="BZ22" s="2064" t="s">
        <v>92</v>
      </c>
      <c r="CA22" s="2039" t="s">
        <v>91</v>
      </c>
      <c r="CB22" s="2039" t="s">
        <v>91</v>
      </c>
      <c r="CC22" s="2062" t="s">
        <v>91</v>
      </c>
      <c r="CD22" s="369" t="s">
        <v>93</v>
      </c>
      <c r="CE22" s="369" t="s">
        <v>93</v>
      </c>
      <c r="CF22" s="369" t="s">
        <v>93</v>
      </c>
      <c r="CG22" s="369" t="s">
        <v>93</v>
      </c>
      <c r="CH22" s="369" t="s">
        <v>93</v>
      </c>
      <c r="CI22" s="369" t="s">
        <v>93</v>
      </c>
      <c r="CJ22" s="369" t="s">
        <v>93</v>
      </c>
      <c r="CK22" s="369" t="s">
        <v>93</v>
      </c>
      <c r="CL22" s="369" t="s">
        <v>93</v>
      </c>
      <c r="CM22" s="2038" t="s">
        <v>91</v>
      </c>
      <c r="CN22" s="2039" t="s">
        <v>91</v>
      </c>
      <c r="CO22" s="2039" t="s">
        <v>91</v>
      </c>
      <c r="CP22" s="2064" t="s">
        <v>92</v>
      </c>
      <c r="CQ22" s="2039" t="s">
        <v>91</v>
      </c>
      <c r="CR22" s="2040" t="s">
        <v>92</v>
      </c>
      <c r="CS22" s="369" t="s">
        <v>91</v>
      </c>
      <c r="CT22" s="369" t="s">
        <v>91</v>
      </c>
      <c r="CU22" s="369" t="s">
        <v>91</v>
      </c>
      <c r="CV22" s="369" t="s">
        <v>91</v>
      </c>
      <c r="CW22" s="369" t="s">
        <v>91</v>
      </c>
      <c r="CX22" s="369" t="s">
        <v>91</v>
      </c>
      <c r="CY22" s="2032" t="s">
        <v>91</v>
      </c>
      <c r="CZ22" s="369" t="s">
        <v>91</v>
      </c>
      <c r="DA22" s="369" t="s">
        <v>91</v>
      </c>
      <c r="DB22" s="369" t="s">
        <v>91</v>
      </c>
      <c r="DC22" s="369" t="s">
        <v>92</v>
      </c>
      <c r="DD22" s="369" t="s">
        <v>91</v>
      </c>
      <c r="DE22" s="369" t="s">
        <v>92</v>
      </c>
      <c r="DF22" s="369" t="s">
        <v>91</v>
      </c>
      <c r="DG22" s="2032" t="s">
        <v>91</v>
      </c>
      <c r="DH22" s="369" t="s">
        <v>91</v>
      </c>
      <c r="DI22" s="2041" t="s">
        <v>91</v>
      </c>
      <c r="DJ22" s="369" t="s">
        <v>91</v>
      </c>
      <c r="DK22" s="369" t="s">
        <v>92</v>
      </c>
      <c r="DL22" s="2032" t="s">
        <v>92</v>
      </c>
      <c r="DM22" s="369" t="s">
        <v>91</v>
      </c>
      <c r="DN22" s="369" t="s">
        <v>117</v>
      </c>
      <c r="DO22" s="369" t="s">
        <v>92</v>
      </c>
      <c r="DP22" s="2032" t="s">
        <v>91</v>
      </c>
      <c r="DQ22" s="369" t="s">
        <v>93</v>
      </c>
      <c r="DR22" s="369" t="s">
        <v>93</v>
      </c>
      <c r="DS22" s="2032" t="s">
        <v>93</v>
      </c>
      <c r="DT22" s="369" t="s">
        <v>92</v>
      </c>
      <c r="DU22" s="369" t="s">
        <v>91</v>
      </c>
      <c r="DV22" s="369" t="s">
        <v>91</v>
      </c>
      <c r="DW22" s="369" t="s">
        <v>91</v>
      </c>
      <c r="DX22" s="2032" t="s">
        <v>91</v>
      </c>
      <c r="DY22" s="369" t="s">
        <v>91</v>
      </c>
      <c r="DZ22" s="369" t="s">
        <v>91</v>
      </c>
      <c r="EA22" s="369" t="s">
        <v>92</v>
      </c>
      <c r="EB22" s="369" t="s">
        <v>91</v>
      </c>
      <c r="EC22" s="369" t="s">
        <v>91</v>
      </c>
      <c r="ED22" s="369" t="s">
        <v>91</v>
      </c>
      <c r="EE22" s="2042" t="s">
        <v>91</v>
      </c>
      <c r="EF22" s="2043" t="s">
        <v>92</v>
      </c>
      <c r="EG22" s="2044" t="s">
        <v>91</v>
      </c>
      <c r="EH22" s="2044" t="s">
        <v>91</v>
      </c>
      <c r="EI22" s="2045" t="s">
        <v>91</v>
      </c>
    </row>
    <row r="23" ht="18.75" customHeight="1">
      <c r="A23" s="158"/>
      <c r="B23" s="135"/>
      <c r="C23" s="2065" t="s">
        <v>1349</v>
      </c>
      <c r="D23" s="369" t="s">
        <v>93</v>
      </c>
      <c r="E23" s="369" t="s">
        <v>93</v>
      </c>
      <c r="F23" s="369" t="s">
        <v>93</v>
      </c>
      <c r="G23" s="369" t="s">
        <v>93</v>
      </c>
      <c r="H23" s="369" t="s">
        <v>93</v>
      </c>
      <c r="I23" s="2032" t="s">
        <v>61</v>
      </c>
      <c r="J23" s="369" t="s">
        <v>93</v>
      </c>
      <c r="K23" s="369" t="s">
        <v>93</v>
      </c>
      <c r="L23" s="369" t="s">
        <v>93</v>
      </c>
      <c r="M23" s="369" t="s">
        <v>93</v>
      </c>
      <c r="N23" s="369" t="s">
        <v>93</v>
      </c>
      <c r="O23" s="2032" t="s">
        <v>93</v>
      </c>
      <c r="P23" s="369" t="s">
        <v>92</v>
      </c>
      <c r="Q23" s="369" t="s">
        <v>92</v>
      </c>
      <c r="R23" s="369" t="s">
        <v>92</v>
      </c>
      <c r="S23" s="369" t="s">
        <v>92</v>
      </c>
      <c r="T23" s="369" t="s">
        <v>91</v>
      </c>
      <c r="U23" s="369" t="s">
        <v>92</v>
      </c>
      <c r="V23" s="369" t="s">
        <v>92</v>
      </c>
      <c r="W23" s="2032" t="s">
        <v>92</v>
      </c>
      <c r="X23" s="369" t="s">
        <v>93</v>
      </c>
      <c r="Y23" s="369" t="s">
        <v>93</v>
      </c>
      <c r="Z23" s="369" t="s">
        <v>93</v>
      </c>
      <c r="AA23" s="369" t="s">
        <v>93</v>
      </c>
      <c r="AB23" s="369" t="s">
        <v>93</v>
      </c>
      <c r="AC23" s="369" t="s">
        <v>93</v>
      </c>
      <c r="AD23" s="2032" t="s">
        <v>93</v>
      </c>
      <c r="AE23" s="369" t="s">
        <v>92</v>
      </c>
      <c r="AF23" s="369" t="s">
        <v>92</v>
      </c>
      <c r="AG23" s="369" t="s">
        <v>91</v>
      </c>
      <c r="AH23" s="369" t="s">
        <v>92</v>
      </c>
      <c r="AI23" s="369" t="s">
        <v>92</v>
      </c>
      <c r="AJ23" s="369" t="s">
        <v>91</v>
      </c>
      <c r="AK23" s="369" t="s">
        <v>91</v>
      </c>
      <c r="AL23" s="369" t="s">
        <v>91</v>
      </c>
      <c r="AM23" s="2032" t="s">
        <v>91</v>
      </c>
      <c r="AN23" s="369" t="s">
        <v>93</v>
      </c>
      <c r="AO23" s="369" t="s">
        <v>93</v>
      </c>
      <c r="AP23" s="2047" t="s">
        <v>93</v>
      </c>
      <c r="AQ23" s="2047" t="s">
        <v>93</v>
      </c>
      <c r="AR23" s="2047" t="s">
        <v>93</v>
      </c>
      <c r="AS23" s="2047" t="s">
        <v>93</v>
      </c>
      <c r="AT23" s="2047" t="s">
        <v>93</v>
      </c>
      <c r="AU23" s="2047" t="s">
        <v>93</v>
      </c>
      <c r="AV23" s="2048" t="s">
        <v>93</v>
      </c>
      <c r="AW23" s="369" t="s">
        <v>93</v>
      </c>
      <c r="AX23" s="369" t="s">
        <v>93</v>
      </c>
      <c r="AY23" s="369" t="s">
        <v>93</v>
      </c>
      <c r="AZ23" s="369" t="s">
        <v>93</v>
      </c>
      <c r="BA23" s="369" t="s">
        <v>93</v>
      </c>
      <c r="BB23" s="369" t="s">
        <v>93</v>
      </c>
      <c r="BC23" s="2032" t="s">
        <v>93</v>
      </c>
      <c r="BD23" s="369" t="s">
        <v>93</v>
      </c>
      <c r="BE23" s="369" t="s">
        <v>93</v>
      </c>
      <c r="BF23" s="369" t="s">
        <v>93</v>
      </c>
      <c r="BG23" s="369" t="s">
        <v>93</v>
      </c>
      <c r="BH23" s="369" t="s">
        <v>93</v>
      </c>
      <c r="BI23" s="369" t="s">
        <v>93</v>
      </c>
      <c r="BJ23" s="369" t="s">
        <v>93</v>
      </c>
      <c r="BK23" s="369" t="s">
        <v>93</v>
      </c>
      <c r="BL23" s="369" t="s">
        <v>93</v>
      </c>
      <c r="BM23" s="369" t="s">
        <v>93</v>
      </c>
      <c r="BN23" s="369" t="s">
        <v>93</v>
      </c>
      <c r="BO23" s="369" t="s">
        <v>93</v>
      </c>
      <c r="BP23" s="369" t="s">
        <v>93</v>
      </c>
      <c r="BQ23" s="2032" t="s">
        <v>93</v>
      </c>
      <c r="BR23" s="2038" t="s">
        <v>91</v>
      </c>
      <c r="BS23" s="2064" t="s">
        <v>92</v>
      </c>
      <c r="BT23" s="2064" t="s">
        <v>92</v>
      </c>
      <c r="BU23" s="2039" t="s">
        <v>91</v>
      </c>
      <c r="BV23" s="2039" t="s">
        <v>91</v>
      </c>
      <c r="BW23" s="2039" t="s">
        <v>91</v>
      </c>
      <c r="BX23" s="2039" t="s">
        <v>91</v>
      </c>
      <c r="BY23" s="2039" t="s">
        <v>91</v>
      </c>
      <c r="BZ23" s="2064" t="s">
        <v>92</v>
      </c>
      <c r="CA23" s="2039" t="s">
        <v>91</v>
      </c>
      <c r="CB23" s="2039" t="s">
        <v>91</v>
      </c>
      <c r="CC23" s="2040" t="s">
        <v>92</v>
      </c>
      <c r="CD23" s="369" t="s">
        <v>118</v>
      </c>
      <c r="CE23" s="369" t="s">
        <v>118</v>
      </c>
      <c r="CF23" s="369" t="s">
        <v>118</v>
      </c>
      <c r="CG23" s="369" t="s">
        <v>118</v>
      </c>
      <c r="CH23" s="369" t="s">
        <v>118</v>
      </c>
      <c r="CI23" s="369" t="s">
        <v>118</v>
      </c>
      <c r="CJ23" s="369" t="s">
        <v>118</v>
      </c>
      <c r="CK23" s="369" t="s">
        <v>118</v>
      </c>
      <c r="CL23" s="369" t="s">
        <v>118</v>
      </c>
      <c r="CM23" s="2053" t="s">
        <v>118</v>
      </c>
      <c r="CN23" s="2054" t="s">
        <v>118</v>
      </c>
      <c r="CO23" s="2054" t="s">
        <v>118</v>
      </c>
      <c r="CP23" s="2054" t="s">
        <v>118</v>
      </c>
      <c r="CQ23" s="2054" t="s">
        <v>118</v>
      </c>
      <c r="CR23" s="2055" t="s">
        <v>118</v>
      </c>
      <c r="CS23" s="369" t="s">
        <v>118</v>
      </c>
      <c r="CT23" s="369" t="s">
        <v>118</v>
      </c>
      <c r="CU23" s="369" t="s">
        <v>118</v>
      </c>
      <c r="CV23" s="369" t="s">
        <v>118</v>
      </c>
      <c r="CW23" s="369" t="s">
        <v>118</v>
      </c>
      <c r="CX23" s="369" t="s">
        <v>118</v>
      </c>
      <c r="CY23" s="2032" t="s">
        <v>118</v>
      </c>
      <c r="CZ23" s="369" t="s">
        <v>118</v>
      </c>
      <c r="DA23" s="369" t="s">
        <v>118</v>
      </c>
      <c r="DB23" s="369" t="s">
        <v>118</v>
      </c>
      <c r="DC23" s="369" t="s">
        <v>118</v>
      </c>
      <c r="DD23" s="369" t="s">
        <v>118</v>
      </c>
      <c r="DE23" s="369" t="s">
        <v>118</v>
      </c>
      <c r="DF23" s="369" t="s">
        <v>118</v>
      </c>
      <c r="DG23" s="2032" t="s">
        <v>118</v>
      </c>
      <c r="DH23" s="369" t="s">
        <v>118</v>
      </c>
      <c r="DI23" s="369" t="s">
        <v>118</v>
      </c>
      <c r="DJ23" s="369" t="s">
        <v>118</v>
      </c>
      <c r="DK23" s="369" t="s">
        <v>118</v>
      </c>
      <c r="DL23" s="2032" t="s">
        <v>118</v>
      </c>
      <c r="DM23" s="369" t="s">
        <v>118</v>
      </c>
      <c r="DN23" s="369" t="s">
        <v>118</v>
      </c>
      <c r="DO23" s="369" t="s">
        <v>118</v>
      </c>
      <c r="DP23" s="2032" t="s">
        <v>118</v>
      </c>
      <c r="DQ23" s="369" t="s">
        <v>118</v>
      </c>
      <c r="DR23" s="369" t="s">
        <v>118</v>
      </c>
      <c r="DS23" s="2032" t="s">
        <v>118</v>
      </c>
      <c r="DT23" s="369" t="s">
        <v>118</v>
      </c>
      <c r="DU23" s="369" t="s">
        <v>118</v>
      </c>
      <c r="DV23" s="369" t="s">
        <v>118</v>
      </c>
      <c r="DW23" s="369" t="s">
        <v>118</v>
      </c>
      <c r="DX23" s="2032" t="s">
        <v>118</v>
      </c>
      <c r="DY23" s="369" t="s">
        <v>118</v>
      </c>
      <c r="DZ23" s="369" t="s">
        <v>118</v>
      </c>
      <c r="EA23" s="369" t="s">
        <v>118</v>
      </c>
      <c r="EB23" s="369" t="s">
        <v>118</v>
      </c>
      <c r="EC23" s="369" t="s">
        <v>118</v>
      </c>
      <c r="ED23" s="2032" t="s">
        <v>118</v>
      </c>
      <c r="EE23" s="369" t="s">
        <v>118</v>
      </c>
      <c r="EF23" s="369" t="s">
        <v>118</v>
      </c>
      <c r="EG23" s="369" t="s">
        <v>118</v>
      </c>
      <c r="EH23" s="369" t="s">
        <v>118</v>
      </c>
      <c r="EI23" s="369" t="s">
        <v>118</v>
      </c>
    </row>
    <row r="24" ht="18.75" customHeight="1">
      <c r="A24" s="158"/>
      <c r="B24" s="135"/>
      <c r="C24" s="2066" t="s">
        <v>146</v>
      </c>
      <c r="D24" s="369" t="s">
        <v>91</v>
      </c>
      <c r="E24" s="369" t="s">
        <v>91</v>
      </c>
      <c r="F24" s="369" t="s">
        <v>91</v>
      </c>
      <c r="G24" s="369" t="s">
        <v>91</v>
      </c>
      <c r="H24" s="369" t="s">
        <v>91</v>
      </c>
      <c r="I24" s="2032" t="s">
        <v>61</v>
      </c>
      <c r="J24" s="369" t="s">
        <v>92</v>
      </c>
      <c r="K24" s="369" t="s">
        <v>92</v>
      </c>
      <c r="L24" s="369" t="s">
        <v>92</v>
      </c>
      <c r="M24" s="369" t="s">
        <v>91</v>
      </c>
      <c r="N24" s="369" t="s">
        <v>91</v>
      </c>
      <c r="O24" s="2032" t="s">
        <v>92</v>
      </c>
      <c r="P24" s="369" t="s">
        <v>92</v>
      </c>
      <c r="Q24" s="369" t="s">
        <v>92</v>
      </c>
      <c r="R24" s="369" t="s">
        <v>92</v>
      </c>
      <c r="S24" s="369" t="s">
        <v>92</v>
      </c>
      <c r="T24" s="369" t="s">
        <v>91</v>
      </c>
      <c r="U24" s="369" t="s">
        <v>91</v>
      </c>
      <c r="V24" s="369" t="s">
        <v>91</v>
      </c>
      <c r="W24" s="2032" t="s">
        <v>92</v>
      </c>
      <c r="X24" s="369" t="s">
        <v>92</v>
      </c>
      <c r="Y24" s="369" t="s">
        <v>91</v>
      </c>
      <c r="Z24" s="369" t="s">
        <v>92</v>
      </c>
      <c r="AA24" s="369" t="s">
        <v>92</v>
      </c>
      <c r="AB24" s="369" t="s">
        <v>91</v>
      </c>
      <c r="AC24" s="369" t="s">
        <v>92</v>
      </c>
      <c r="AD24" s="2032" t="s">
        <v>91</v>
      </c>
      <c r="AE24" s="369" t="s">
        <v>92</v>
      </c>
      <c r="AF24" s="369" t="s">
        <v>92</v>
      </c>
      <c r="AG24" s="369" t="s">
        <v>91</v>
      </c>
      <c r="AH24" s="369" t="s">
        <v>92</v>
      </c>
      <c r="AI24" s="369" t="s">
        <v>91</v>
      </c>
      <c r="AJ24" s="369" t="s">
        <v>91</v>
      </c>
      <c r="AK24" s="369" t="s">
        <v>91</v>
      </c>
      <c r="AL24" s="369" t="s">
        <v>91</v>
      </c>
      <c r="AM24" s="2032" t="s">
        <v>91</v>
      </c>
      <c r="AN24" s="369" t="s">
        <v>1702</v>
      </c>
      <c r="AO24" s="369" t="s">
        <v>1702</v>
      </c>
      <c r="AP24" s="2033" t="s">
        <v>1702</v>
      </c>
      <c r="AQ24" s="2033" t="s">
        <v>1703</v>
      </c>
      <c r="AR24" s="2033" t="s">
        <v>1702</v>
      </c>
      <c r="AS24" s="2033" t="s">
        <v>1702</v>
      </c>
      <c r="AT24" s="2033" t="s">
        <v>1703</v>
      </c>
      <c r="AU24" s="2033" t="s">
        <v>1703</v>
      </c>
      <c r="AV24" s="2034" t="s">
        <v>1703</v>
      </c>
      <c r="AW24" s="2047" t="s">
        <v>93</v>
      </c>
      <c r="AX24" s="369" t="s">
        <v>93</v>
      </c>
      <c r="AY24" s="369" t="s">
        <v>93</v>
      </c>
      <c r="AZ24" s="369" t="s">
        <v>93</v>
      </c>
      <c r="BA24" s="369" t="s">
        <v>93</v>
      </c>
      <c r="BB24" s="369" t="s">
        <v>93</v>
      </c>
      <c r="BC24" s="2032" t="s">
        <v>93</v>
      </c>
      <c r="BD24" s="2047" t="s">
        <v>93</v>
      </c>
      <c r="BE24" s="2047" t="s">
        <v>93</v>
      </c>
      <c r="BF24" s="2047" t="s">
        <v>93</v>
      </c>
      <c r="BG24" s="2047" t="s">
        <v>93</v>
      </c>
      <c r="BH24" s="2047" t="s">
        <v>93</v>
      </c>
      <c r="BI24" s="2047" t="s">
        <v>93</v>
      </c>
      <c r="BJ24" s="2047" t="s">
        <v>93</v>
      </c>
      <c r="BK24" s="369" t="s">
        <v>93</v>
      </c>
      <c r="BL24" s="369" t="s">
        <v>93</v>
      </c>
      <c r="BM24" s="369" t="s">
        <v>93</v>
      </c>
      <c r="BN24" s="369" t="s">
        <v>93</v>
      </c>
      <c r="BO24" s="369" t="s">
        <v>93</v>
      </c>
      <c r="BP24" s="369" t="s">
        <v>93</v>
      </c>
      <c r="BQ24" s="2032" t="s">
        <v>93</v>
      </c>
      <c r="BR24" s="2035" t="s">
        <v>93</v>
      </c>
      <c r="BS24" s="2036" t="s">
        <v>93</v>
      </c>
      <c r="BT24" s="2036" t="s">
        <v>93</v>
      </c>
      <c r="BU24" s="2036" t="s">
        <v>93</v>
      </c>
      <c r="BV24" s="2036" t="s">
        <v>93</v>
      </c>
      <c r="BW24" s="2036" t="s">
        <v>93</v>
      </c>
      <c r="BX24" s="2036" t="s">
        <v>93</v>
      </c>
      <c r="BY24" s="2036" t="s">
        <v>93</v>
      </c>
      <c r="BZ24" s="2036" t="s">
        <v>93</v>
      </c>
      <c r="CA24" s="2036" t="s">
        <v>93</v>
      </c>
      <c r="CB24" s="2036" t="s">
        <v>93</v>
      </c>
      <c r="CC24" s="2037" t="s">
        <v>93</v>
      </c>
      <c r="CD24" s="369" t="s">
        <v>1703</v>
      </c>
      <c r="CE24" s="369" t="s">
        <v>1702</v>
      </c>
      <c r="CF24" s="369" t="s">
        <v>1702</v>
      </c>
      <c r="CG24" s="369" t="s">
        <v>1703</v>
      </c>
      <c r="CH24" s="369" t="s">
        <v>1702</v>
      </c>
      <c r="CI24" s="369" t="s">
        <v>1703</v>
      </c>
      <c r="CJ24" s="369" t="s">
        <v>1702</v>
      </c>
      <c r="CK24" s="369" t="s">
        <v>1702</v>
      </c>
      <c r="CL24" s="369" t="s">
        <v>1702</v>
      </c>
      <c r="CM24" s="2035" t="s">
        <v>93</v>
      </c>
      <c r="CN24" s="2036" t="s">
        <v>93</v>
      </c>
      <c r="CO24" s="2036" t="s">
        <v>93</v>
      </c>
      <c r="CP24" s="2036" t="s">
        <v>93</v>
      </c>
      <c r="CQ24" s="2036" t="s">
        <v>93</v>
      </c>
      <c r="CR24" s="2037" t="s">
        <v>93</v>
      </c>
      <c r="CS24" s="369" t="s">
        <v>91</v>
      </c>
      <c r="CT24" s="369" t="s">
        <v>91</v>
      </c>
      <c r="CU24" s="369" t="s">
        <v>91</v>
      </c>
      <c r="CV24" s="369" t="s">
        <v>91</v>
      </c>
      <c r="CW24" s="369" t="s">
        <v>91</v>
      </c>
      <c r="CX24" s="369" t="s">
        <v>91</v>
      </c>
      <c r="CY24" s="2032" t="s">
        <v>91</v>
      </c>
      <c r="CZ24" s="369" t="s">
        <v>91</v>
      </c>
      <c r="DA24" s="369" t="s">
        <v>91</v>
      </c>
      <c r="DB24" s="369" t="s">
        <v>91</v>
      </c>
      <c r="DC24" s="369" t="s">
        <v>92</v>
      </c>
      <c r="DD24" s="369" t="s">
        <v>91</v>
      </c>
      <c r="DE24" s="369" t="s">
        <v>92</v>
      </c>
      <c r="DF24" s="369" t="s">
        <v>91</v>
      </c>
      <c r="DG24" s="2032" t="s">
        <v>91</v>
      </c>
      <c r="DH24" s="369" t="s">
        <v>118</v>
      </c>
      <c r="DI24" s="369" t="s">
        <v>118</v>
      </c>
      <c r="DJ24" s="369" t="s">
        <v>118</v>
      </c>
      <c r="DK24" s="369" t="s">
        <v>118</v>
      </c>
      <c r="DL24" s="2032" t="s">
        <v>118</v>
      </c>
      <c r="DM24" s="369" t="s">
        <v>118</v>
      </c>
      <c r="DN24" s="369" t="s">
        <v>118</v>
      </c>
      <c r="DO24" s="369" t="s">
        <v>118</v>
      </c>
      <c r="DP24" s="2032" t="s">
        <v>118</v>
      </c>
      <c r="DQ24" s="369" t="s">
        <v>118</v>
      </c>
      <c r="DR24" s="369" t="s">
        <v>118</v>
      </c>
      <c r="DS24" s="2032" t="s">
        <v>118</v>
      </c>
      <c r="DT24" s="369" t="s">
        <v>118</v>
      </c>
      <c r="DU24" s="369" t="s">
        <v>118</v>
      </c>
      <c r="DV24" s="369" t="s">
        <v>118</v>
      </c>
      <c r="DW24" s="369" t="s">
        <v>118</v>
      </c>
      <c r="DX24" s="2032" t="s">
        <v>118</v>
      </c>
      <c r="DY24" s="369" t="s">
        <v>118</v>
      </c>
      <c r="DZ24" s="369" t="s">
        <v>118</v>
      </c>
      <c r="EA24" s="369" t="s">
        <v>118</v>
      </c>
      <c r="EB24" s="369" t="s">
        <v>118</v>
      </c>
      <c r="EC24" s="369" t="s">
        <v>118</v>
      </c>
      <c r="ED24" s="2032" t="s">
        <v>118</v>
      </c>
      <c r="EE24" s="369" t="s">
        <v>118</v>
      </c>
      <c r="EF24" s="369" t="s">
        <v>118</v>
      </c>
      <c r="EG24" s="369" t="s">
        <v>118</v>
      </c>
      <c r="EH24" s="369" t="s">
        <v>118</v>
      </c>
      <c r="EI24" s="369" t="s">
        <v>118</v>
      </c>
    </row>
    <row r="25" ht="18.75" customHeight="1">
      <c r="A25" s="158"/>
      <c r="B25" s="135"/>
      <c r="C25" s="179" t="s">
        <v>109</v>
      </c>
      <c r="D25" s="369" t="s">
        <v>118</v>
      </c>
      <c r="E25" s="369" t="s">
        <v>118</v>
      </c>
      <c r="F25" s="369" t="s">
        <v>118</v>
      </c>
      <c r="G25" s="369" t="s">
        <v>118</v>
      </c>
      <c r="H25" s="369" t="s">
        <v>118</v>
      </c>
      <c r="I25" s="2032" t="s">
        <v>118</v>
      </c>
      <c r="J25" s="369" t="s">
        <v>118</v>
      </c>
      <c r="K25" s="369" t="s">
        <v>118</v>
      </c>
      <c r="L25" s="369" t="s">
        <v>118</v>
      </c>
      <c r="M25" s="369" t="s">
        <v>118</v>
      </c>
      <c r="N25" s="369" t="s">
        <v>118</v>
      </c>
      <c r="O25" s="2032" t="s">
        <v>118</v>
      </c>
      <c r="P25" s="369" t="s">
        <v>118</v>
      </c>
      <c r="Q25" s="369" t="s">
        <v>118</v>
      </c>
      <c r="R25" s="369" t="s">
        <v>118</v>
      </c>
      <c r="S25" s="369" t="s">
        <v>118</v>
      </c>
      <c r="T25" s="369" t="s">
        <v>118</v>
      </c>
      <c r="U25" s="369" t="s">
        <v>118</v>
      </c>
      <c r="V25" s="369" t="s">
        <v>118</v>
      </c>
      <c r="W25" s="2032" t="s">
        <v>118</v>
      </c>
      <c r="X25" s="369" t="s">
        <v>118</v>
      </c>
      <c r="Y25" s="369" t="s">
        <v>118</v>
      </c>
      <c r="Z25" s="369" t="s">
        <v>118</v>
      </c>
      <c r="AA25" s="369" t="s">
        <v>118</v>
      </c>
      <c r="AB25" s="369" t="s">
        <v>118</v>
      </c>
      <c r="AC25" s="369" t="s">
        <v>118</v>
      </c>
      <c r="AD25" s="2032" t="s">
        <v>118</v>
      </c>
      <c r="AE25" s="369" t="s">
        <v>118</v>
      </c>
      <c r="AF25" s="369" t="s">
        <v>118</v>
      </c>
      <c r="AG25" s="369" t="s">
        <v>118</v>
      </c>
      <c r="AH25" s="369" t="s">
        <v>118</v>
      </c>
      <c r="AI25" s="369" t="s">
        <v>118</v>
      </c>
      <c r="AJ25" s="369" t="s">
        <v>118</v>
      </c>
      <c r="AK25" s="369" t="s">
        <v>118</v>
      </c>
      <c r="AL25" s="369" t="s">
        <v>118</v>
      </c>
      <c r="AM25" s="2032" t="s">
        <v>118</v>
      </c>
      <c r="AN25" s="369" t="s">
        <v>118</v>
      </c>
      <c r="AO25" s="369" t="s">
        <v>118</v>
      </c>
      <c r="AP25" s="369" t="s">
        <v>118</v>
      </c>
      <c r="AQ25" s="369" t="s">
        <v>118</v>
      </c>
      <c r="AR25" s="369" t="s">
        <v>118</v>
      </c>
      <c r="AS25" s="369" t="s">
        <v>118</v>
      </c>
      <c r="AT25" s="369" t="s">
        <v>118</v>
      </c>
      <c r="AU25" s="369" t="s">
        <v>118</v>
      </c>
      <c r="AV25" s="2032" t="s">
        <v>118</v>
      </c>
      <c r="AW25" s="369" t="s">
        <v>118</v>
      </c>
      <c r="AX25" s="369" t="s">
        <v>118</v>
      </c>
      <c r="AY25" s="369" t="s">
        <v>118</v>
      </c>
      <c r="AZ25" s="369" t="s">
        <v>118</v>
      </c>
      <c r="BA25" s="369" t="s">
        <v>118</v>
      </c>
      <c r="BB25" s="369" t="s">
        <v>118</v>
      </c>
      <c r="BC25" s="2032" t="s">
        <v>118</v>
      </c>
      <c r="BD25" s="369" t="s">
        <v>118</v>
      </c>
      <c r="BE25" s="369" t="s">
        <v>118</v>
      </c>
      <c r="BF25" s="369" t="s">
        <v>118</v>
      </c>
      <c r="BG25" s="369" t="s">
        <v>118</v>
      </c>
      <c r="BH25" s="369" t="s">
        <v>118</v>
      </c>
      <c r="BI25" s="369" t="s">
        <v>118</v>
      </c>
      <c r="BJ25" s="369" t="s">
        <v>118</v>
      </c>
      <c r="BK25" s="369" t="s">
        <v>118</v>
      </c>
      <c r="BL25" s="369" t="s">
        <v>118</v>
      </c>
      <c r="BM25" s="369" t="s">
        <v>118</v>
      </c>
      <c r="BN25" s="369" t="s">
        <v>118</v>
      </c>
      <c r="BO25" s="369" t="s">
        <v>118</v>
      </c>
      <c r="BP25" s="369" t="s">
        <v>118</v>
      </c>
      <c r="BQ25" s="2032" t="s">
        <v>118</v>
      </c>
      <c r="BR25" s="369" t="s">
        <v>118</v>
      </c>
      <c r="BS25" s="369" t="s">
        <v>118</v>
      </c>
      <c r="BT25" s="369" t="s">
        <v>118</v>
      </c>
      <c r="BU25" s="369" t="s">
        <v>118</v>
      </c>
      <c r="BV25" s="369" t="s">
        <v>118</v>
      </c>
      <c r="BW25" s="369" t="s">
        <v>118</v>
      </c>
      <c r="BX25" s="369" t="s">
        <v>118</v>
      </c>
      <c r="BY25" s="369" t="s">
        <v>118</v>
      </c>
      <c r="BZ25" s="369" t="s">
        <v>118</v>
      </c>
      <c r="CA25" s="369" t="s">
        <v>118</v>
      </c>
      <c r="CB25" s="369" t="s">
        <v>118</v>
      </c>
      <c r="CC25" s="2032" t="s">
        <v>118</v>
      </c>
      <c r="CD25" s="369" t="s">
        <v>118</v>
      </c>
      <c r="CE25" s="369" t="s">
        <v>118</v>
      </c>
      <c r="CF25" s="369" t="s">
        <v>118</v>
      </c>
      <c r="CG25" s="369" t="s">
        <v>118</v>
      </c>
      <c r="CH25" s="369" t="s">
        <v>118</v>
      </c>
      <c r="CI25" s="369" t="s">
        <v>118</v>
      </c>
      <c r="CJ25" s="369" t="s">
        <v>118</v>
      </c>
      <c r="CK25" s="369" t="s">
        <v>118</v>
      </c>
      <c r="CL25" s="2032" t="s">
        <v>118</v>
      </c>
      <c r="CM25" s="369" t="s">
        <v>118</v>
      </c>
      <c r="CN25" s="369" t="s">
        <v>118</v>
      </c>
      <c r="CO25" s="369" t="s">
        <v>118</v>
      </c>
      <c r="CP25" s="369" t="s">
        <v>118</v>
      </c>
      <c r="CQ25" s="369" t="s">
        <v>118</v>
      </c>
      <c r="CR25" s="2032" t="s">
        <v>118</v>
      </c>
      <c r="CS25" s="369" t="s">
        <v>118</v>
      </c>
      <c r="CT25" s="369" t="s">
        <v>118</v>
      </c>
      <c r="CU25" s="369" t="s">
        <v>118</v>
      </c>
      <c r="CV25" s="369" t="s">
        <v>118</v>
      </c>
      <c r="CW25" s="369" t="s">
        <v>118</v>
      </c>
      <c r="CX25" s="369" t="s">
        <v>118</v>
      </c>
      <c r="CY25" s="2032" t="s">
        <v>118</v>
      </c>
      <c r="CZ25" s="369" t="s">
        <v>118</v>
      </c>
      <c r="DA25" s="369" t="s">
        <v>118</v>
      </c>
      <c r="DB25" s="369" t="s">
        <v>118</v>
      </c>
      <c r="DC25" s="369" t="s">
        <v>118</v>
      </c>
      <c r="DD25" s="369" t="s">
        <v>118</v>
      </c>
      <c r="DE25" s="369" t="s">
        <v>118</v>
      </c>
      <c r="DF25" s="369" t="s">
        <v>118</v>
      </c>
      <c r="DG25" s="2032" t="s">
        <v>118</v>
      </c>
      <c r="DH25" s="369" t="s">
        <v>91</v>
      </c>
      <c r="DI25" s="2041" t="s">
        <v>91</v>
      </c>
      <c r="DJ25" s="369" t="s">
        <v>91</v>
      </c>
      <c r="DK25" s="2041" t="s">
        <v>91</v>
      </c>
      <c r="DL25" s="2032" t="s">
        <v>92</v>
      </c>
      <c r="DM25" s="369" t="s">
        <v>91</v>
      </c>
      <c r="DN25" s="369" t="s">
        <v>117</v>
      </c>
      <c r="DO25" s="369" t="s">
        <v>92</v>
      </c>
      <c r="DP25" s="2032" t="s">
        <v>91</v>
      </c>
      <c r="DQ25" s="369" t="s">
        <v>91</v>
      </c>
      <c r="DR25" s="369" t="s">
        <v>92</v>
      </c>
      <c r="DS25" s="2032" t="s">
        <v>91</v>
      </c>
      <c r="DT25" s="369" t="s">
        <v>92</v>
      </c>
      <c r="DU25" s="369" t="s">
        <v>91</v>
      </c>
      <c r="DV25" s="369" t="s">
        <v>92</v>
      </c>
      <c r="DW25" s="369" t="s">
        <v>91</v>
      </c>
      <c r="DX25" s="2032" t="s">
        <v>91</v>
      </c>
      <c r="DY25" s="369" t="s">
        <v>91</v>
      </c>
      <c r="DZ25" s="369" t="s">
        <v>91</v>
      </c>
      <c r="EA25" s="369" t="s">
        <v>92</v>
      </c>
      <c r="EB25" s="369" t="s">
        <v>91</v>
      </c>
      <c r="EC25" s="369" t="s">
        <v>91</v>
      </c>
      <c r="ED25" s="2032" t="s">
        <v>91</v>
      </c>
      <c r="EE25" s="2042" t="s">
        <v>91</v>
      </c>
      <c r="EF25" s="2043" t="s">
        <v>92</v>
      </c>
      <c r="EG25" s="2044" t="s">
        <v>91</v>
      </c>
      <c r="EH25" s="2044" t="s">
        <v>91</v>
      </c>
      <c r="EI25" s="2045" t="s">
        <v>91</v>
      </c>
    </row>
    <row r="26" ht="18.75" customHeight="1">
      <c r="A26" s="158"/>
      <c r="B26" s="135"/>
      <c r="C26" s="2066" t="s">
        <v>1353</v>
      </c>
      <c r="D26" s="369" t="s">
        <v>93</v>
      </c>
      <c r="E26" s="369" t="s">
        <v>93</v>
      </c>
      <c r="F26" s="369" t="s">
        <v>93</v>
      </c>
      <c r="G26" s="369" t="s">
        <v>93</v>
      </c>
      <c r="H26" s="369" t="s">
        <v>93</v>
      </c>
      <c r="I26" s="2032" t="s">
        <v>61</v>
      </c>
      <c r="J26" s="369" t="s">
        <v>93</v>
      </c>
      <c r="K26" s="369" t="s">
        <v>93</v>
      </c>
      <c r="L26" s="369" t="s">
        <v>93</v>
      </c>
      <c r="M26" s="369" t="s">
        <v>93</v>
      </c>
      <c r="N26" s="369" t="s">
        <v>93</v>
      </c>
      <c r="O26" s="2032" t="s">
        <v>93</v>
      </c>
      <c r="P26" s="369" t="s">
        <v>93</v>
      </c>
      <c r="Q26" s="369" t="s">
        <v>93</v>
      </c>
      <c r="R26" s="369" t="s">
        <v>93</v>
      </c>
      <c r="S26" s="369" t="s">
        <v>93</v>
      </c>
      <c r="T26" s="369" t="s">
        <v>93</v>
      </c>
      <c r="U26" s="369" t="s">
        <v>93</v>
      </c>
      <c r="V26" s="369" t="s">
        <v>93</v>
      </c>
      <c r="W26" s="2032" t="s">
        <v>93</v>
      </c>
      <c r="X26" s="369" t="s">
        <v>93</v>
      </c>
      <c r="Y26" s="369" t="s">
        <v>93</v>
      </c>
      <c r="Z26" s="369" t="s">
        <v>93</v>
      </c>
      <c r="AA26" s="369" t="s">
        <v>93</v>
      </c>
      <c r="AB26" s="369" t="s">
        <v>93</v>
      </c>
      <c r="AC26" s="369" t="s">
        <v>93</v>
      </c>
      <c r="AD26" s="2032" t="s">
        <v>93</v>
      </c>
      <c r="AE26" s="369" t="s">
        <v>118</v>
      </c>
      <c r="AF26" s="369" t="s">
        <v>118</v>
      </c>
      <c r="AG26" s="369" t="s">
        <v>118</v>
      </c>
      <c r="AH26" s="369" t="s">
        <v>118</v>
      </c>
      <c r="AI26" s="369" t="s">
        <v>118</v>
      </c>
      <c r="AJ26" s="369" t="s">
        <v>118</v>
      </c>
      <c r="AK26" s="369" t="s">
        <v>118</v>
      </c>
      <c r="AL26" s="369" t="s">
        <v>118</v>
      </c>
      <c r="AM26" s="2032" t="s">
        <v>118</v>
      </c>
      <c r="AN26" s="369" t="s">
        <v>118</v>
      </c>
      <c r="AO26" s="369" t="s">
        <v>118</v>
      </c>
      <c r="AP26" s="369" t="s">
        <v>118</v>
      </c>
      <c r="AQ26" s="369" t="s">
        <v>118</v>
      </c>
      <c r="AR26" s="369" t="s">
        <v>118</v>
      </c>
      <c r="AS26" s="369" t="s">
        <v>118</v>
      </c>
      <c r="AT26" s="369" t="s">
        <v>118</v>
      </c>
      <c r="AU26" s="369" t="s">
        <v>118</v>
      </c>
      <c r="AV26" s="2032" t="s">
        <v>118</v>
      </c>
      <c r="AW26" s="369" t="s">
        <v>118</v>
      </c>
      <c r="AX26" s="369" t="s">
        <v>118</v>
      </c>
      <c r="AY26" s="369" t="s">
        <v>118</v>
      </c>
      <c r="AZ26" s="369" t="s">
        <v>118</v>
      </c>
      <c r="BA26" s="369" t="s">
        <v>118</v>
      </c>
      <c r="BB26" s="369" t="s">
        <v>118</v>
      </c>
      <c r="BC26" s="2032" t="s">
        <v>118</v>
      </c>
      <c r="BD26" s="369" t="s">
        <v>118</v>
      </c>
      <c r="BE26" s="369" t="s">
        <v>118</v>
      </c>
      <c r="BF26" s="369" t="s">
        <v>118</v>
      </c>
      <c r="BG26" s="369" t="s">
        <v>118</v>
      </c>
      <c r="BH26" s="369" t="s">
        <v>118</v>
      </c>
      <c r="BI26" s="369" t="s">
        <v>118</v>
      </c>
      <c r="BJ26" s="369" t="s">
        <v>118</v>
      </c>
      <c r="BK26" s="369" t="s">
        <v>118</v>
      </c>
      <c r="BL26" s="369" t="s">
        <v>118</v>
      </c>
      <c r="BM26" s="369" t="s">
        <v>118</v>
      </c>
      <c r="BN26" s="369" t="s">
        <v>118</v>
      </c>
      <c r="BO26" s="369" t="s">
        <v>118</v>
      </c>
      <c r="BP26" s="369" t="s">
        <v>118</v>
      </c>
      <c r="BQ26" s="2032" t="s">
        <v>118</v>
      </c>
      <c r="BR26" s="2053" t="s">
        <v>118</v>
      </c>
      <c r="BS26" s="2054" t="s">
        <v>118</v>
      </c>
      <c r="BT26" s="2054" t="s">
        <v>118</v>
      </c>
      <c r="BU26" s="2054" t="s">
        <v>118</v>
      </c>
      <c r="BV26" s="2054" t="s">
        <v>118</v>
      </c>
      <c r="BW26" s="2054" t="s">
        <v>118</v>
      </c>
      <c r="BX26" s="2054" t="s">
        <v>118</v>
      </c>
      <c r="BY26" s="2054" t="s">
        <v>118</v>
      </c>
      <c r="BZ26" s="2054" t="s">
        <v>118</v>
      </c>
      <c r="CA26" s="2054" t="s">
        <v>118</v>
      </c>
      <c r="CB26" s="2054" t="s">
        <v>118</v>
      </c>
      <c r="CC26" s="2055" t="s">
        <v>118</v>
      </c>
      <c r="CD26" s="369" t="s">
        <v>118</v>
      </c>
      <c r="CE26" s="369" t="s">
        <v>118</v>
      </c>
      <c r="CF26" s="369" t="s">
        <v>118</v>
      </c>
      <c r="CG26" s="369" t="s">
        <v>118</v>
      </c>
      <c r="CH26" s="369" t="s">
        <v>118</v>
      </c>
      <c r="CI26" s="369" t="s">
        <v>118</v>
      </c>
      <c r="CJ26" s="369" t="s">
        <v>118</v>
      </c>
      <c r="CK26" s="369" t="s">
        <v>118</v>
      </c>
      <c r="CL26" s="369" t="s">
        <v>118</v>
      </c>
      <c r="CM26" s="2053" t="s">
        <v>118</v>
      </c>
      <c r="CN26" s="2054" t="s">
        <v>118</v>
      </c>
      <c r="CO26" s="2054" t="s">
        <v>118</v>
      </c>
      <c r="CP26" s="2054" t="s">
        <v>118</v>
      </c>
      <c r="CQ26" s="2054" t="s">
        <v>118</v>
      </c>
      <c r="CR26" s="2055" t="s">
        <v>118</v>
      </c>
      <c r="CS26" s="369" t="s">
        <v>118</v>
      </c>
      <c r="CT26" s="369" t="s">
        <v>118</v>
      </c>
      <c r="CU26" s="369" t="s">
        <v>118</v>
      </c>
      <c r="CV26" s="369" t="s">
        <v>118</v>
      </c>
      <c r="CW26" s="369" t="s">
        <v>118</v>
      </c>
      <c r="CX26" s="369" t="s">
        <v>118</v>
      </c>
      <c r="CY26" s="2032" t="s">
        <v>118</v>
      </c>
      <c r="CZ26" s="369" t="s">
        <v>118</v>
      </c>
      <c r="DA26" s="369" t="s">
        <v>118</v>
      </c>
      <c r="DB26" s="369" t="s">
        <v>118</v>
      </c>
      <c r="DC26" s="369" t="s">
        <v>118</v>
      </c>
      <c r="DD26" s="369" t="s">
        <v>118</v>
      </c>
      <c r="DE26" s="369" t="s">
        <v>118</v>
      </c>
      <c r="DF26" s="369" t="s">
        <v>118</v>
      </c>
      <c r="DG26" s="2032" t="s">
        <v>118</v>
      </c>
      <c r="DH26" s="369" t="s">
        <v>118</v>
      </c>
      <c r="DI26" s="369" t="s">
        <v>118</v>
      </c>
      <c r="DJ26" s="369" t="s">
        <v>118</v>
      </c>
      <c r="DK26" s="369" t="s">
        <v>118</v>
      </c>
      <c r="DL26" s="2032" t="s">
        <v>118</v>
      </c>
      <c r="DM26" s="369" t="s">
        <v>118</v>
      </c>
      <c r="DN26" s="369" t="s">
        <v>118</v>
      </c>
      <c r="DO26" s="369" t="s">
        <v>118</v>
      </c>
      <c r="DP26" s="2032" t="s">
        <v>118</v>
      </c>
      <c r="DQ26" s="369" t="s">
        <v>118</v>
      </c>
      <c r="DR26" s="369" t="s">
        <v>118</v>
      </c>
      <c r="DS26" s="2032" t="s">
        <v>118</v>
      </c>
      <c r="DT26" s="369" t="s">
        <v>118</v>
      </c>
      <c r="DU26" s="369" t="s">
        <v>118</v>
      </c>
      <c r="DV26" s="369" t="s">
        <v>118</v>
      </c>
      <c r="DW26" s="369" t="s">
        <v>118</v>
      </c>
      <c r="DX26" s="2032" t="s">
        <v>118</v>
      </c>
      <c r="DY26" s="369" t="s">
        <v>118</v>
      </c>
      <c r="DZ26" s="369" t="s">
        <v>118</v>
      </c>
      <c r="EA26" s="369" t="s">
        <v>118</v>
      </c>
      <c r="EB26" s="369" t="s">
        <v>118</v>
      </c>
      <c r="EC26" s="369" t="s">
        <v>118</v>
      </c>
      <c r="ED26" s="2032" t="s">
        <v>118</v>
      </c>
      <c r="EE26" s="369" t="s">
        <v>118</v>
      </c>
      <c r="EF26" s="369" t="s">
        <v>118</v>
      </c>
      <c r="EG26" s="369" t="s">
        <v>118</v>
      </c>
      <c r="EH26" s="369" t="s">
        <v>118</v>
      </c>
      <c r="EI26" s="369" t="s">
        <v>118</v>
      </c>
    </row>
    <row r="27" ht="18.75" customHeight="1">
      <c r="A27" s="158"/>
      <c r="B27" s="135"/>
      <c r="C27" s="2066" t="s">
        <v>1354</v>
      </c>
      <c r="D27" s="369" t="s">
        <v>118</v>
      </c>
      <c r="E27" s="369" t="s">
        <v>118</v>
      </c>
      <c r="F27" s="369" t="s">
        <v>118</v>
      </c>
      <c r="G27" s="369" t="s">
        <v>118</v>
      </c>
      <c r="H27" s="369" t="s">
        <v>118</v>
      </c>
      <c r="I27" s="2032" t="s">
        <v>118</v>
      </c>
      <c r="J27" s="369" t="s">
        <v>118</v>
      </c>
      <c r="K27" s="369" t="s">
        <v>118</v>
      </c>
      <c r="L27" s="369" t="s">
        <v>118</v>
      </c>
      <c r="M27" s="369" t="s">
        <v>118</v>
      </c>
      <c r="N27" s="369" t="s">
        <v>118</v>
      </c>
      <c r="O27" s="2032" t="s">
        <v>118</v>
      </c>
      <c r="P27" s="369" t="s">
        <v>118</v>
      </c>
      <c r="Q27" s="369" t="s">
        <v>118</v>
      </c>
      <c r="R27" s="369" t="s">
        <v>118</v>
      </c>
      <c r="S27" s="369" t="s">
        <v>118</v>
      </c>
      <c r="T27" s="369" t="s">
        <v>118</v>
      </c>
      <c r="U27" s="369" t="s">
        <v>118</v>
      </c>
      <c r="V27" s="369" t="s">
        <v>118</v>
      </c>
      <c r="W27" s="2032" t="s">
        <v>118</v>
      </c>
      <c r="X27" s="369" t="s">
        <v>118</v>
      </c>
      <c r="Y27" s="369" t="s">
        <v>118</v>
      </c>
      <c r="Z27" s="369" t="s">
        <v>118</v>
      </c>
      <c r="AA27" s="369" t="s">
        <v>118</v>
      </c>
      <c r="AB27" s="369" t="s">
        <v>118</v>
      </c>
      <c r="AC27" s="369" t="s">
        <v>118</v>
      </c>
      <c r="AD27" s="2032" t="s">
        <v>118</v>
      </c>
      <c r="AE27" s="369" t="s">
        <v>93</v>
      </c>
      <c r="AF27" s="369" t="s">
        <v>93</v>
      </c>
      <c r="AG27" s="369" t="s">
        <v>93</v>
      </c>
      <c r="AH27" s="369" t="s">
        <v>93</v>
      </c>
      <c r="AI27" s="369" t="s">
        <v>93</v>
      </c>
      <c r="AJ27" s="369" t="s">
        <v>93</v>
      </c>
      <c r="AK27" s="369" t="s">
        <v>93</v>
      </c>
      <c r="AL27" s="369" t="s">
        <v>93</v>
      </c>
      <c r="AM27" s="2032" t="s">
        <v>93</v>
      </c>
      <c r="AN27" s="369" t="s">
        <v>93</v>
      </c>
      <c r="AO27" s="369" t="s">
        <v>93</v>
      </c>
      <c r="AP27" s="2067" t="s">
        <v>93</v>
      </c>
      <c r="AQ27" s="2067" t="s">
        <v>93</v>
      </c>
      <c r="AR27" s="2067" t="s">
        <v>93</v>
      </c>
      <c r="AS27" s="2067" t="s">
        <v>93</v>
      </c>
      <c r="AT27" s="2067" t="s">
        <v>93</v>
      </c>
      <c r="AU27" s="2067" t="s">
        <v>93</v>
      </c>
      <c r="AV27" s="2068" t="s">
        <v>93</v>
      </c>
      <c r="AW27" s="2067" t="s">
        <v>93</v>
      </c>
      <c r="AX27" s="369" t="s">
        <v>93</v>
      </c>
      <c r="AY27" s="369" t="s">
        <v>93</v>
      </c>
      <c r="AZ27" s="369" t="s">
        <v>93</v>
      </c>
      <c r="BA27" s="369" t="s">
        <v>93</v>
      </c>
      <c r="BB27" s="369" t="s">
        <v>93</v>
      </c>
      <c r="BC27" s="2032" t="s">
        <v>93</v>
      </c>
      <c r="BD27" s="369" t="s">
        <v>118</v>
      </c>
      <c r="BE27" s="369" t="s">
        <v>118</v>
      </c>
      <c r="BF27" s="369" t="s">
        <v>118</v>
      </c>
      <c r="BG27" s="369" t="s">
        <v>118</v>
      </c>
      <c r="BH27" s="369" t="s">
        <v>118</v>
      </c>
      <c r="BI27" s="369" t="s">
        <v>118</v>
      </c>
      <c r="BJ27" s="369" t="s">
        <v>118</v>
      </c>
      <c r="BK27" s="369" t="s">
        <v>118</v>
      </c>
      <c r="BL27" s="369" t="s">
        <v>118</v>
      </c>
      <c r="BM27" s="369" t="s">
        <v>118</v>
      </c>
      <c r="BN27" s="369" t="s">
        <v>118</v>
      </c>
      <c r="BO27" s="369" t="s">
        <v>118</v>
      </c>
      <c r="BP27" s="369" t="s">
        <v>118</v>
      </c>
      <c r="BQ27" s="2032" t="s">
        <v>118</v>
      </c>
      <c r="BR27" s="2053" t="s">
        <v>118</v>
      </c>
      <c r="BS27" s="2054" t="s">
        <v>118</v>
      </c>
      <c r="BT27" s="2054" t="s">
        <v>118</v>
      </c>
      <c r="BU27" s="2054" t="s">
        <v>118</v>
      </c>
      <c r="BV27" s="2054" t="s">
        <v>118</v>
      </c>
      <c r="BW27" s="2054" t="s">
        <v>118</v>
      </c>
      <c r="BX27" s="2054" t="s">
        <v>118</v>
      </c>
      <c r="BY27" s="2054" t="s">
        <v>118</v>
      </c>
      <c r="BZ27" s="2054" t="s">
        <v>118</v>
      </c>
      <c r="CA27" s="2054" t="s">
        <v>118</v>
      </c>
      <c r="CB27" s="2054" t="s">
        <v>118</v>
      </c>
      <c r="CC27" s="2055" t="s">
        <v>118</v>
      </c>
      <c r="CD27" s="369" t="s">
        <v>118</v>
      </c>
      <c r="CE27" s="369" t="s">
        <v>118</v>
      </c>
      <c r="CF27" s="369" t="s">
        <v>118</v>
      </c>
      <c r="CG27" s="369" t="s">
        <v>118</v>
      </c>
      <c r="CH27" s="369" t="s">
        <v>118</v>
      </c>
      <c r="CI27" s="369" t="s">
        <v>118</v>
      </c>
      <c r="CJ27" s="369" t="s">
        <v>118</v>
      </c>
      <c r="CK27" s="369" t="s">
        <v>118</v>
      </c>
      <c r="CL27" s="369" t="s">
        <v>118</v>
      </c>
      <c r="CM27" s="2053" t="s">
        <v>118</v>
      </c>
      <c r="CN27" s="2054" t="s">
        <v>118</v>
      </c>
      <c r="CO27" s="2054" t="s">
        <v>118</v>
      </c>
      <c r="CP27" s="2054" t="s">
        <v>118</v>
      </c>
      <c r="CQ27" s="2054" t="s">
        <v>118</v>
      </c>
      <c r="CR27" s="2055" t="s">
        <v>118</v>
      </c>
      <c r="CS27" s="369" t="s">
        <v>118</v>
      </c>
      <c r="CT27" s="369" t="s">
        <v>118</v>
      </c>
      <c r="CU27" s="369" t="s">
        <v>118</v>
      </c>
      <c r="CV27" s="369" t="s">
        <v>118</v>
      </c>
      <c r="CW27" s="369" t="s">
        <v>118</v>
      </c>
      <c r="CX27" s="369" t="s">
        <v>118</v>
      </c>
      <c r="CY27" s="2032" t="s">
        <v>118</v>
      </c>
      <c r="CZ27" s="369" t="s">
        <v>118</v>
      </c>
      <c r="DA27" s="369" t="s">
        <v>118</v>
      </c>
      <c r="DB27" s="369" t="s">
        <v>118</v>
      </c>
      <c r="DC27" s="369" t="s">
        <v>118</v>
      </c>
      <c r="DD27" s="369" t="s">
        <v>118</v>
      </c>
      <c r="DE27" s="369" t="s">
        <v>118</v>
      </c>
      <c r="DF27" s="369" t="s">
        <v>118</v>
      </c>
      <c r="DG27" s="2032" t="s">
        <v>118</v>
      </c>
      <c r="DH27" s="369" t="s">
        <v>118</v>
      </c>
      <c r="DI27" s="369" t="s">
        <v>118</v>
      </c>
      <c r="DJ27" s="369" t="s">
        <v>118</v>
      </c>
      <c r="DK27" s="369" t="s">
        <v>118</v>
      </c>
      <c r="DL27" s="2032" t="s">
        <v>118</v>
      </c>
      <c r="DM27" s="369" t="s">
        <v>118</v>
      </c>
      <c r="DN27" s="369" t="s">
        <v>118</v>
      </c>
      <c r="DO27" s="369" t="s">
        <v>118</v>
      </c>
      <c r="DP27" s="2032" t="s">
        <v>118</v>
      </c>
      <c r="DQ27" s="369" t="s">
        <v>118</v>
      </c>
      <c r="DR27" s="369" t="s">
        <v>118</v>
      </c>
      <c r="DS27" s="2032" t="s">
        <v>118</v>
      </c>
      <c r="DT27" s="369" t="s">
        <v>118</v>
      </c>
      <c r="DU27" s="369" t="s">
        <v>118</v>
      </c>
      <c r="DV27" s="369" t="s">
        <v>118</v>
      </c>
      <c r="DW27" s="369" t="s">
        <v>118</v>
      </c>
      <c r="DX27" s="2032" t="s">
        <v>118</v>
      </c>
      <c r="DY27" s="369" t="s">
        <v>118</v>
      </c>
      <c r="DZ27" s="369" t="s">
        <v>118</v>
      </c>
      <c r="EA27" s="369" t="s">
        <v>118</v>
      </c>
      <c r="EB27" s="369" t="s">
        <v>118</v>
      </c>
      <c r="EC27" s="369" t="s">
        <v>118</v>
      </c>
      <c r="ED27" s="2032" t="s">
        <v>118</v>
      </c>
      <c r="EE27" s="369" t="s">
        <v>118</v>
      </c>
      <c r="EF27" s="369" t="s">
        <v>118</v>
      </c>
      <c r="EG27" s="369" t="s">
        <v>118</v>
      </c>
      <c r="EH27" s="369" t="s">
        <v>118</v>
      </c>
      <c r="EI27" s="369" t="s">
        <v>118</v>
      </c>
    </row>
    <row r="28" ht="18.75" customHeight="1">
      <c r="A28" s="168"/>
      <c r="B28" s="132"/>
      <c r="C28" s="179" t="s">
        <v>110</v>
      </c>
      <c r="D28" s="369" t="s">
        <v>118</v>
      </c>
      <c r="E28" s="369" t="s">
        <v>118</v>
      </c>
      <c r="F28" s="369" t="s">
        <v>118</v>
      </c>
      <c r="G28" s="369" t="s">
        <v>118</v>
      </c>
      <c r="H28" s="369" t="s">
        <v>118</v>
      </c>
      <c r="I28" s="2032" t="s">
        <v>118</v>
      </c>
      <c r="J28" s="369" t="s">
        <v>118</v>
      </c>
      <c r="K28" s="369" t="s">
        <v>118</v>
      </c>
      <c r="L28" s="369" t="s">
        <v>118</v>
      </c>
      <c r="M28" s="369" t="s">
        <v>118</v>
      </c>
      <c r="N28" s="369" t="s">
        <v>118</v>
      </c>
      <c r="O28" s="2032" t="s">
        <v>118</v>
      </c>
      <c r="P28" s="369" t="s">
        <v>118</v>
      </c>
      <c r="Q28" s="369" t="s">
        <v>118</v>
      </c>
      <c r="R28" s="369" t="s">
        <v>118</v>
      </c>
      <c r="S28" s="369" t="s">
        <v>118</v>
      </c>
      <c r="T28" s="369" t="s">
        <v>118</v>
      </c>
      <c r="U28" s="369" t="s">
        <v>118</v>
      </c>
      <c r="V28" s="369" t="s">
        <v>118</v>
      </c>
      <c r="W28" s="2032" t="s">
        <v>118</v>
      </c>
      <c r="X28" s="369" t="s">
        <v>118</v>
      </c>
      <c r="Y28" s="369" t="s">
        <v>118</v>
      </c>
      <c r="Z28" s="369" t="s">
        <v>118</v>
      </c>
      <c r="AA28" s="369" t="s">
        <v>118</v>
      </c>
      <c r="AB28" s="369" t="s">
        <v>118</v>
      </c>
      <c r="AC28" s="369" t="s">
        <v>118</v>
      </c>
      <c r="AD28" s="2032" t="s">
        <v>118</v>
      </c>
      <c r="AE28" s="369" t="s">
        <v>118</v>
      </c>
      <c r="AF28" s="369" t="s">
        <v>118</v>
      </c>
      <c r="AG28" s="369" t="s">
        <v>118</v>
      </c>
      <c r="AH28" s="369" t="s">
        <v>118</v>
      </c>
      <c r="AI28" s="369" t="s">
        <v>118</v>
      </c>
      <c r="AJ28" s="369" t="s">
        <v>118</v>
      </c>
      <c r="AK28" s="369" t="s">
        <v>118</v>
      </c>
      <c r="AL28" s="369" t="s">
        <v>118</v>
      </c>
      <c r="AM28" s="2032" t="s">
        <v>118</v>
      </c>
      <c r="AN28" s="369" t="s">
        <v>118</v>
      </c>
      <c r="AO28" s="369" t="s">
        <v>118</v>
      </c>
      <c r="AP28" s="369" t="s">
        <v>118</v>
      </c>
      <c r="AQ28" s="369" t="s">
        <v>118</v>
      </c>
      <c r="AR28" s="369" t="s">
        <v>118</v>
      </c>
      <c r="AS28" s="369" t="s">
        <v>118</v>
      </c>
      <c r="AT28" s="369" t="s">
        <v>118</v>
      </c>
      <c r="AU28" s="369" t="s">
        <v>118</v>
      </c>
      <c r="AV28" s="2032" t="s">
        <v>118</v>
      </c>
      <c r="AW28" s="369" t="s">
        <v>118</v>
      </c>
      <c r="AX28" s="369" t="s">
        <v>118</v>
      </c>
      <c r="AY28" s="369" t="s">
        <v>118</v>
      </c>
      <c r="AZ28" s="369" t="s">
        <v>118</v>
      </c>
      <c r="BA28" s="369" t="s">
        <v>118</v>
      </c>
      <c r="BB28" s="369" t="s">
        <v>118</v>
      </c>
      <c r="BC28" s="2032" t="s">
        <v>118</v>
      </c>
      <c r="BD28" s="2033" t="s">
        <v>91</v>
      </c>
      <c r="BE28" s="2033" t="s">
        <v>91</v>
      </c>
      <c r="BF28" s="2033" t="s">
        <v>91</v>
      </c>
      <c r="BG28" s="2033" t="s">
        <v>92</v>
      </c>
      <c r="BH28" s="2033" t="s">
        <v>92</v>
      </c>
      <c r="BI28" s="2033" t="s">
        <v>92</v>
      </c>
      <c r="BJ28" s="2033" t="s">
        <v>92</v>
      </c>
      <c r="BK28" s="2033" t="s">
        <v>92</v>
      </c>
      <c r="BL28" s="369" t="s">
        <v>91</v>
      </c>
      <c r="BM28" s="2033" t="s">
        <v>92</v>
      </c>
      <c r="BN28" s="369" t="s">
        <v>91</v>
      </c>
      <c r="BO28" s="2033" t="s">
        <v>92</v>
      </c>
      <c r="BP28" s="369" t="s">
        <v>91</v>
      </c>
      <c r="BQ28" s="2032" t="s">
        <v>91</v>
      </c>
      <c r="BR28" s="2069" t="s">
        <v>91</v>
      </c>
      <c r="BS28" s="2070" t="s">
        <v>92</v>
      </c>
      <c r="BT28" s="2071" t="s">
        <v>91</v>
      </c>
      <c r="BU28" s="2071" t="s">
        <v>91</v>
      </c>
      <c r="BV28" s="2071" t="s">
        <v>91</v>
      </c>
      <c r="BW28" s="2071" t="s">
        <v>91</v>
      </c>
      <c r="BX28" s="2071" t="s">
        <v>91</v>
      </c>
      <c r="BY28" s="2071" t="s">
        <v>91</v>
      </c>
      <c r="BZ28" s="2072" t="s">
        <v>92</v>
      </c>
      <c r="CA28" s="2072" t="s">
        <v>91</v>
      </c>
      <c r="CB28" s="2073" t="s">
        <v>92</v>
      </c>
      <c r="CC28" s="2051" t="s">
        <v>92</v>
      </c>
      <c r="CD28" s="369" t="s">
        <v>1703</v>
      </c>
      <c r="CE28" s="369" t="s">
        <v>1702</v>
      </c>
      <c r="CF28" s="369" t="s">
        <v>1703</v>
      </c>
      <c r="CG28" s="369" t="s">
        <v>1703</v>
      </c>
      <c r="CH28" s="369" t="s">
        <v>1702</v>
      </c>
      <c r="CI28" s="369" t="s">
        <v>1703</v>
      </c>
      <c r="CJ28" s="369" t="s">
        <v>1702</v>
      </c>
      <c r="CK28" s="369" t="s">
        <v>1702</v>
      </c>
      <c r="CL28" s="369" t="s">
        <v>1702</v>
      </c>
      <c r="CM28" s="2038" t="s">
        <v>91</v>
      </c>
      <c r="CN28" s="2039" t="s">
        <v>91</v>
      </c>
      <c r="CO28" s="2039" t="s">
        <v>91</v>
      </c>
      <c r="CP28" s="2039" t="s">
        <v>91</v>
      </c>
      <c r="CQ28" s="2039" t="s">
        <v>91</v>
      </c>
      <c r="CR28" s="2062" t="s">
        <v>91</v>
      </c>
      <c r="CS28" s="369" t="s">
        <v>91</v>
      </c>
      <c r="CT28" s="369" t="s">
        <v>91</v>
      </c>
      <c r="CU28" s="369" t="s">
        <v>91</v>
      </c>
      <c r="CV28" s="369" t="s">
        <v>91</v>
      </c>
      <c r="CW28" s="369" t="s">
        <v>91</v>
      </c>
      <c r="CX28" s="2041" t="s">
        <v>92</v>
      </c>
      <c r="CY28" s="2032" t="s">
        <v>91</v>
      </c>
      <c r="CZ28" s="369" t="s">
        <v>91</v>
      </c>
      <c r="DA28" s="369" t="s">
        <v>91</v>
      </c>
      <c r="DB28" s="369" t="s">
        <v>91</v>
      </c>
      <c r="DC28" s="369" t="s">
        <v>92</v>
      </c>
      <c r="DD28" s="2041" t="s">
        <v>92</v>
      </c>
      <c r="DE28" s="369" t="s">
        <v>92</v>
      </c>
      <c r="DF28" s="369" t="s">
        <v>91</v>
      </c>
      <c r="DG28" s="2032" t="s">
        <v>91</v>
      </c>
      <c r="DH28" s="369" t="s">
        <v>91</v>
      </c>
      <c r="DI28" s="2041" t="s">
        <v>91</v>
      </c>
      <c r="DJ28" s="369" t="s">
        <v>91</v>
      </c>
      <c r="DK28" s="369" t="s">
        <v>91</v>
      </c>
      <c r="DL28" s="2032" t="s">
        <v>92</v>
      </c>
      <c r="DM28" s="369" t="s">
        <v>91</v>
      </c>
      <c r="DN28" s="369" t="s">
        <v>117</v>
      </c>
      <c r="DO28" s="369" t="s">
        <v>92</v>
      </c>
      <c r="DP28" s="2032" t="s">
        <v>91</v>
      </c>
      <c r="DQ28" s="369" t="s">
        <v>92</v>
      </c>
      <c r="DR28" s="369" t="s">
        <v>92</v>
      </c>
      <c r="DS28" s="2032" t="s">
        <v>91</v>
      </c>
      <c r="DT28" s="369" t="s">
        <v>117</v>
      </c>
      <c r="DU28" s="369" t="s">
        <v>91</v>
      </c>
      <c r="DV28" s="369" t="s">
        <v>91</v>
      </c>
      <c r="DW28" s="369" t="s">
        <v>91</v>
      </c>
      <c r="DX28" s="2032" t="s">
        <v>91</v>
      </c>
      <c r="DY28" s="369" t="s">
        <v>92</v>
      </c>
      <c r="DZ28" s="369" t="s">
        <v>91</v>
      </c>
      <c r="EA28" s="369" t="s">
        <v>92</v>
      </c>
      <c r="EB28" s="369" t="s">
        <v>91</v>
      </c>
      <c r="EC28" s="369" t="s">
        <v>91</v>
      </c>
      <c r="ED28" s="369" t="s">
        <v>91</v>
      </c>
      <c r="EE28" s="2074" t="s">
        <v>92</v>
      </c>
      <c r="EF28" s="2043" t="s">
        <v>92</v>
      </c>
      <c r="EG28" s="2043" t="s">
        <v>92</v>
      </c>
      <c r="EH28" s="2044" t="s">
        <v>91</v>
      </c>
      <c r="EI28" s="2045" t="s">
        <v>91</v>
      </c>
    </row>
    <row r="29" ht="9.75" customHeight="1">
      <c r="A29" s="170"/>
      <c r="B29" s="171"/>
      <c r="C29" s="172"/>
      <c r="D29" s="2075" t="str">
        <f t="shared" ref="D29:R29" si="1">LINKURL(D5)</f>
        <v>https://reddit.com/r/RMTK/comments/ftq0uh</v>
      </c>
      <c r="E29" s="2075" t="str">
        <f t="shared" si="1"/>
        <v>https://reddit.com/r/RMTK/comments/fu5pcf</v>
      </c>
      <c r="F29" s="2075" t="str">
        <f t="shared" si="1"/>
        <v>https://reddit.com/r/RMTK/comments/frul6g</v>
      </c>
      <c r="G29" s="2075" t="str">
        <f t="shared" si="1"/>
        <v>https://reddit.com/r/RMTK/comments/ft3no2</v>
      </c>
      <c r="H29" s="2075" t="str">
        <f t="shared" si="1"/>
        <v>https://reddit.com/r/RMTK/comments/fur4rn</v>
      </c>
      <c r="I29" s="174" t="str">
        <f t="shared" si="1"/>
        <v>https://www.reddit.com/r/RMTK/comments/fyhsvd/stemming_tweede_kamer_over_m0163/</v>
      </c>
      <c r="J29" s="2075" t="str">
        <f t="shared" si="1"/>
        <v>https://reddit.com/r/RMTK/comments/fvw34y</v>
      </c>
      <c r="K29" s="2075" t="str">
        <f t="shared" si="1"/>
        <v>https://reddit.com/r/RMTK/comments/fx3ttl</v>
      </c>
      <c r="L29" s="2075" t="str">
        <f t="shared" si="1"/>
        <v>https://reddit.com/r/RMTK/comments/fwa1h8</v>
      </c>
      <c r="M29" s="2075" t="str">
        <f t="shared" si="1"/>
        <v>https://reddit.com/r/RMTK/comments/fz9q6d</v>
      </c>
      <c r="N29" s="2075" t="str">
        <f t="shared" si="1"/>
        <v>https://reddit.com/r/RMTK/comments/fwhw8q</v>
      </c>
      <c r="O29" s="174" t="str">
        <f t="shared" si="1"/>
        <v>https://reddit.com/r/RMTK/comments/fx3ttg</v>
      </c>
      <c r="P29" s="2075" t="str">
        <f t="shared" si="1"/>
        <v>https://www.reddit.com/r/RMTK/comments/fxpsug/m0155_motie_tot_hernoeming_flevoland_of_lelystad/</v>
      </c>
      <c r="Q29" s="2075" t="str">
        <f t="shared" si="1"/>
        <v>https://www.reddit.com/r/RMTK/comments/fxhwmu/m0156_motie_tot_jaarlijkse_cursus/</v>
      </c>
      <c r="R29" s="2075" t="str">
        <f t="shared" si="1"/>
        <v>https://www.reddit.com/r/RMTK/comments/fz3pfj/m0157_motie_tot_spelende_kinderen_blij_maken/</v>
      </c>
      <c r="S29" s="2076"/>
      <c r="T29" s="2075" t="str">
        <f t="shared" ref="T29:Z29" si="2">LINKURL(T5)</f>
        <v>https://www.reddit.com/r/RMTK/comments/fsgnao/w0076_vaststelling_van_de_begrotingsstaat_van_het/</v>
      </c>
      <c r="U29" s="2075" t="str">
        <f t="shared" si="2"/>
        <v>https://www.reddit.com/r/RMTK/comments/g4o0o2/w0081i_amendement_tot_wijziging_van_de_wet_op/</v>
      </c>
      <c r="V29" s="2075" t="str">
        <f t="shared" si="2"/>
        <v>https://www.reddit.com/r/RMTK/comments/g10sdl/w0082_wet_btwverhoging_vleesproducten_en/</v>
      </c>
      <c r="W29" s="174" t="str">
        <f t="shared" si="2"/>
        <v>https://www.reddit.com/r/RMTK/comments/g4ud01/w0084i_amendement_tot_wijziging_van_de_vlootwet/</v>
      </c>
      <c r="X29" s="2075" t="str">
        <f t="shared" si="2"/>
        <v>https://www.reddit.com/r/RMTK/comments/g188en/m0159_motie_tot_uitleg_politieke_stromingen_in/</v>
      </c>
      <c r="Y29" s="2075" t="str">
        <f t="shared" si="2"/>
        <v>https://www.reddit.com/r/RMTK/comments/g188dx/m0160_motie_tot_erkenning_van_taiwan_als/</v>
      </c>
      <c r="Z29" s="2075" t="str">
        <f t="shared" si="2"/>
        <v>https://www.reddit.com/r/RMTK/comments/g2gjt7/m0161_motie_tot_verhoging_salaris_militairen/</v>
      </c>
      <c r="AA29" s="2076"/>
      <c r="AB29" s="2075" t="str">
        <f t="shared" ref="AB29:AE29" si="3">LINKURL(AB5)</f>
        <v>https://www.reddit.com/r/RMTK/comments/g1mxke/w0083_wetswijziging_ter_afschaffing_automatisch/</v>
      </c>
      <c r="AC29" s="2075" t="str">
        <f t="shared" si="3"/>
        <v>https://www.reddit.com/r/RMTK/comments/g2bf4w/w0084_vlootwet_2020/</v>
      </c>
      <c r="AD29" s="174" t="str">
        <f t="shared" si="3"/>
        <v>https://www.reddit.com/r/RMTK/comments/g3jxay/w0085_wetswijziging_van_de_wet_op_de_kansspelen/</v>
      </c>
      <c r="AE29" s="2075" t="str">
        <f t="shared" si="3"/>
        <v>https://reddit.com/r/RMTK/comments/g3pugv</v>
      </c>
      <c r="AF29" s="2076"/>
      <c r="AG29" s="2075" t="str">
        <f t="shared" ref="AG29:AM29" si="4">LINKURL(AG5)</f>
        <v>https://reddit.com/r/RMTK/comments/g5wgvo</v>
      </c>
      <c r="AH29" s="2075" t="str">
        <f t="shared" si="4"/>
        <v>https://reddit.com/r/RMTK/comments/g6m9by</v>
      </c>
      <c r="AI29" s="2075" t="str">
        <f t="shared" si="4"/>
        <v>https://reddit.com/r/RMTK/comments/gdb6s1</v>
      </c>
      <c r="AJ29" s="2075" t="str">
        <f t="shared" si="4"/>
        <v>https://reddit.com/r/RMTK/comments/g5aglx</v>
      </c>
      <c r="AK29" s="2075" t="str">
        <f t="shared" si="4"/>
        <v>https://reddit.com/r/RMTK/comments/g60qgw</v>
      </c>
      <c r="AL29" s="2075" t="str">
        <f t="shared" si="4"/>
        <v>https://reddit.com/r/RMTK/comments/gehwkg</v>
      </c>
      <c r="AM29" s="174" t="str">
        <f t="shared" si="4"/>
        <v>https://reddit.com/r/RMTK/comments/gc4mq7</v>
      </c>
      <c r="AN29" s="2077" t="s">
        <v>1704</v>
      </c>
      <c r="AO29" s="2078" t="s">
        <v>1705</v>
      </c>
      <c r="AP29" s="2079"/>
      <c r="AQ29" s="2079"/>
      <c r="AR29" s="2079"/>
      <c r="AS29" s="2079"/>
      <c r="AT29" s="2079"/>
      <c r="AU29" s="2078" t="s">
        <v>1706</v>
      </c>
      <c r="AV29" s="2080" t="s">
        <v>1707</v>
      </c>
      <c r="AW29" s="2081" t="s">
        <v>1708</v>
      </c>
      <c r="AX29" s="2082" t="s">
        <v>1709</v>
      </c>
      <c r="AY29" s="2082" t="s">
        <v>1710</v>
      </c>
      <c r="AZ29" s="2082" t="s">
        <v>1711</v>
      </c>
      <c r="BA29" s="2082" t="s">
        <v>1712</v>
      </c>
      <c r="BB29" s="2082" t="s">
        <v>1713</v>
      </c>
      <c r="BC29" s="2080" t="s">
        <v>1714</v>
      </c>
      <c r="BD29" s="2076"/>
      <c r="BE29" s="2076"/>
      <c r="BF29" s="2076"/>
      <c r="BG29" s="2076"/>
      <c r="BH29" s="2076"/>
      <c r="BI29" s="2076"/>
      <c r="BJ29" s="2076" t="str">
        <f t="shared" ref="BJ29:BQ29" si="5">LINKURL(BH5)</f>
        <v>#REF!</v>
      </c>
      <c r="BK29" s="2076" t="str">
        <f t="shared" si="5"/>
        <v>#REF!</v>
      </c>
      <c r="BL29" s="2076" t="str">
        <f t="shared" si="5"/>
        <v>#REF!</v>
      </c>
      <c r="BM29" s="2076" t="str">
        <f t="shared" si="5"/>
        <v>#REF!</v>
      </c>
      <c r="BN29" s="2076" t="str">
        <f t="shared" si="5"/>
        <v>#REF!</v>
      </c>
      <c r="BO29" s="2076" t="str">
        <f t="shared" si="5"/>
        <v>#REF!</v>
      </c>
      <c r="BP29" s="2076" t="str">
        <f t="shared" si="5"/>
        <v>#REF!</v>
      </c>
      <c r="BQ29" s="2083" t="str">
        <f t="shared" si="5"/>
        <v>#REF!</v>
      </c>
      <c r="BR29" s="2084"/>
      <c r="BS29" s="2085"/>
      <c r="BT29" s="2027"/>
      <c r="BU29" s="2027"/>
      <c r="BV29" s="2027"/>
      <c r="BW29" s="2029"/>
      <c r="BX29" s="2027"/>
      <c r="BY29" s="2027"/>
      <c r="BZ29" s="2027"/>
      <c r="CA29" s="2027"/>
      <c r="CB29" s="2086"/>
      <c r="CC29" s="2030"/>
      <c r="CD29" s="2076"/>
      <c r="CE29" s="2076"/>
      <c r="CF29" s="2076"/>
      <c r="CG29" s="2076"/>
      <c r="CH29" s="2076"/>
      <c r="CI29" s="2076"/>
      <c r="CJ29" s="2076"/>
      <c r="CK29" s="2076"/>
      <c r="CL29" s="2076"/>
      <c r="CM29" s="2087"/>
      <c r="CN29" s="2088"/>
      <c r="CO29" s="2088"/>
      <c r="CP29" s="2088"/>
      <c r="CQ29" s="2089"/>
      <c r="CR29" s="2030"/>
      <c r="CS29" s="2075" t="str">
        <f>LINKURL(CS5)</f>
        <v>https://www.reddit.com/r/RMTK/comments/ha1tpn/m0202_motie_tot_intensivering_aanleg/</v>
      </c>
      <c r="CT29" s="2075" t="str">
        <f>linkURL(CT5)</f>
        <v>https://www.reddit.com/r/RMTK/comments/hd54xz/m0210_motie_tot_nauwere_militaire_samenwerking/</v>
      </c>
      <c r="CU29" s="2075" t="str">
        <f>LINKURL(CU5)</f>
        <v>https://www.reddit.com/r/RMTK/comments/hckdcr/m0212_motie_tot_terugdraaiing_wet_passend/</v>
      </c>
      <c r="CV29" s="2076"/>
      <c r="CW29" s="2075" t="str">
        <f>LINKURL(CW5)</f>
        <v>https://www.reddit.com/r/RMTK/comments/hdqade/m0214_motie_tot_onmiddelijke_verhoging/</v>
      </c>
      <c r="CX29" s="2076"/>
      <c r="CY29" s="2075" t="str">
        <f t="shared" ref="CY29:EI29" si="6">LINKURL(CY5)</f>
        <v>https://www.reddit.com/r/RMTK/comments/gnyh8p/w0097_wet_tot_invoering_dagboetes/</v>
      </c>
      <c r="CZ29" s="2075" t="str">
        <f t="shared" si="6"/>
        <v>https://reddit.com/r/RMTK/comments/h85hkh</v>
      </c>
      <c r="DA29" s="2075" t="str">
        <f t="shared" si="6"/>
        <v>https://reddit.com/r/RMTK/comments/hbmtfw</v>
      </c>
      <c r="DB29" s="2075" t="str">
        <f t="shared" si="6"/>
        <v>https://reddit.com/r/RMTK/comments/hhxu98</v>
      </c>
      <c r="DC29" s="2075" t="str">
        <f t="shared" si="6"/>
        <v>https://reddit.com/r/RMTK/comments/hil801</v>
      </c>
      <c r="DD29" s="2075" t="str">
        <f t="shared" si="6"/>
        <v>https://reddit.com/r/RMTK/comments/hez1cm</v>
      </c>
      <c r="DE29" s="2075" t="str">
        <f t="shared" si="6"/>
        <v>https://reddit.com/r/RMTK/comments/hfk4zw</v>
      </c>
      <c r="DF29" s="2075" t="str">
        <f t="shared" si="6"/>
        <v>https://reddit.com/r/RMTK/comments/himh1r</v>
      </c>
      <c r="DG29" s="174" t="str">
        <f t="shared" si="6"/>
        <v>https://reddit.com/r/RMTK/comments/hhckd2</v>
      </c>
      <c r="DH29" s="2075" t="str">
        <f t="shared" si="6"/>
        <v>https://reddit.com/r/RMTK/comments/hm4wab</v>
      </c>
      <c r="DI29" s="2075" t="str">
        <f t="shared" si="6"/>
        <v>https://reddit.com/r/RMTK/comments/hmrrak</v>
      </c>
      <c r="DJ29" s="2075" t="str">
        <f t="shared" si="6"/>
        <v>https://reddit.com/r/RMTK/comments/hgh3pe</v>
      </c>
      <c r="DK29" s="2075" t="str">
        <f t="shared" si="6"/>
        <v>https://reddit.com/r/RMTK/comments/hj83fw</v>
      </c>
      <c r="DL29" s="174" t="str">
        <f t="shared" si="6"/>
        <v>https://reddit.com/r/RMTK/comments/hjuz32</v>
      </c>
      <c r="DM29" s="2075" t="str">
        <f t="shared" si="6"/>
        <v>https://reddit.com/r/RMTK/comments/ho0htn</v>
      </c>
      <c r="DN29" s="2075" t="str">
        <f t="shared" si="6"/>
        <v>https://reddit.com/r/RMTK/comments/hqcm8l</v>
      </c>
      <c r="DO29" s="2075" t="str">
        <f t="shared" si="6"/>
        <v>https://reddit.com/r/RMTK/comments/hqytga</v>
      </c>
      <c r="DP29" s="174" t="str">
        <f t="shared" si="6"/>
        <v>https://reddit.com/r/RMTK/comments/hned9g</v>
      </c>
      <c r="DQ29" s="2075" t="str">
        <f t="shared" si="6"/>
        <v>https://reddit.com/r/RMTK/comments/hrkvj3</v>
      </c>
      <c r="DR29" s="2075" t="str">
        <f t="shared" si="6"/>
        <v>https://reddit.com/r/RMTK/comments/hs6xlt</v>
      </c>
      <c r="DS29" s="174" t="str">
        <f t="shared" si="6"/>
        <v>https://reddit.com/r/RMTK/comments/hv4qw4</v>
      </c>
      <c r="DT29" s="2075" t="str">
        <f t="shared" si="6"/>
        <v>https://reddit.com/r/RMTK/comments/hwdo6h</v>
      </c>
      <c r="DU29" s="2075" t="str">
        <f t="shared" si="6"/>
        <v>https://reddit.com/r/RMTK/comments/hwzqpe</v>
      </c>
      <c r="DV29" s="2075" t="str">
        <f t="shared" si="6"/>
        <v>https://reddit.com/r/RMTK/comments/hvr3js</v>
      </c>
      <c r="DW29" s="2075" t="str">
        <f t="shared" si="6"/>
        <v>https://reddit.com/r/RMTK/comments/hwd0lv</v>
      </c>
      <c r="DX29" s="2075" t="str">
        <f t="shared" si="6"/>
        <v>https://reddit.com/r/RMTK/comments/hzdmjq</v>
      </c>
      <c r="DY29" s="2075" t="str">
        <f t="shared" si="6"/>
        <v>https://reddit.com/r/RMTK/comments/hzy20q</v>
      </c>
      <c r="DZ29" s="2075" t="str">
        <f t="shared" si="6"/>
        <v>https://reddit.com/r/RMTK/comments/huioh6</v>
      </c>
      <c r="EA29" s="2075" t="str">
        <f t="shared" si="6"/>
        <v>https://reddit.com/r/RMTK/comments/hypi3e</v>
      </c>
      <c r="EB29" s="2075" t="str">
        <f t="shared" si="6"/>
        <v>https://reddit.com/r/RMTK/comments/i0pg7a</v>
      </c>
      <c r="EC29" s="2075" t="str">
        <f t="shared" si="6"/>
        <v>https://reddit.com/r/RMTK/comments/i0jew5</v>
      </c>
      <c r="ED29" s="174" t="str">
        <f t="shared" si="6"/>
        <v>https://reddit.com/r/RMTK/comments/i2ucsj</v>
      </c>
      <c r="EE29" s="2075" t="str">
        <f t="shared" si="6"/>
        <v>https://reddit.com/r/RMTK/comments/i4p0om</v>
      </c>
      <c r="EF29" s="2075" t="str">
        <f t="shared" si="6"/>
        <v>https://reddit.com/r/RMTK/comments/i42kh7</v>
      </c>
      <c r="EG29" s="2075" t="str">
        <f t="shared" si="6"/>
        <v>https://reddit.com/r/RMTK/comments/i721ot</v>
      </c>
      <c r="EH29" s="2075" t="str">
        <f t="shared" si="6"/>
        <v>https://reddit.com/r/RMTK/comments/hzbyx6</v>
      </c>
      <c r="EI29" s="174" t="str">
        <f t="shared" si="6"/>
        <v>https://reddit.com/r/RMTK/comments/i7p1yp</v>
      </c>
    </row>
    <row r="30" ht="18.75" customHeight="1">
      <c r="A30" s="176" t="s">
        <v>105</v>
      </c>
      <c r="B30" s="180" t="s">
        <v>31</v>
      </c>
      <c r="C30" s="181" t="s">
        <v>32</v>
      </c>
      <c r="D30" s="369" t="s">
        <v>91</v>
      </c>
      <c r="E30" s="369" t="s">
        <v>91</v>
      </c>
      <c r="F30" s="369" t="s">
        <v>91</v>
      </c>
      <c r="G30" s="369" t="s">
        <v>91</v>
      </c>
      <c r="H30" s="369" t="s">
        <v>91</v>
      </c>
      <c r="I30" s="2032" t="s">
        <v>61</v>
      </c>
      <c r="J30" s="369" t="s">
        <v>92</v>
      </c>
      <c r="K30" s="369" t="s">
        <v>92</v>
      </c>
      <c r="L30" s="369" t="s">
        <v>92</v>
      </c>
      <c r="M30" s="369" t="s">
        <v>91</v>
      </c>
      <c r="N30" s="369" t="s">
        <v>92</v>
      </c>
      <c r="O30" s="2032" t="s">
        <v>92</v>
      </c>
      <c r="P30" s="369" t="s">
        <v>92</v>
      </c>
      <c r="Q30" s="369" t="s">
        <v>91</v>
      </c>
      <c r="R30" s="369" t="s">
        <v>92</v>
      </c>
      <c r="S30" s="369" t="s">
        <v>92</v>
      </c>
      <c r="T30" s="369" t="s">
        <v>92</v>
      </c>
      <c r="U30" s="369" t="s">
        <v>91</v>
      </c>
      <c r="V30" s="369" t="s">
        <v>92</v>
      </c>
      <c r="W30" s="2032" t="s">
        <v>92</v>
      </c>
      <c r="X30" s="369" t="s">
        <v>92</v>
      </c>
      <c r="Y30" s="369" t="s">
        <v>92</v>
      </c>
      <c r="Z30" s="369" t="s">
        <v>92</v>
      </c>
      <c r="AA30" s="369" t="s">
        <v>91</v>
      </c>
      <c r="AB30" s="369" t="s">
        <v>91</v>
      </c>
      <c r="AC30" s="369" t="s">
        <v>92</v>
      </c>
      <c r="AD30" s="2032" t="s">
        <v>91</v>
      </c>
      <c r="AE30" s="369" t="s">
        <v>92</v>
      </c>
      <c r="AF30" s="369" t="s">
        <v>92</v>
      </c>
      <c r="AG30" s="369" t="s">
        <v>91</v>
      </c>
      <c r="AH30" s="369" t="s">
        <v>92</v>
      </c>
      <c r="AI30" s="369" t="s">
        <v>91</v>
      </c>
      <c r="AJ30" s="369" t="s">
        <v>91</v>
      </c>
      <c r="AK30" s="369" t="s">
        <v>92</v>
      </c>
      <c r="AL30" s="369" t="s">
        <v>91</v>
      </c>
      <c r="AM30" s="2032" t="s">
        <v>91</v>
      </c>
      <c r="AN30" s="369" t="s">
        <v>1702</v>
      </c>
      <c r="AO30" s="369" t="s">
        <v>1702</v>
      </c>
      <c r="AP30" s="2033" t="s">
        <v>1703</v>
      </c>
      <c r="AQ30" s="2033" t="s">
        <v>1703</v>
      </c>
      <c r="AR30" s="2033" t="s">
        <v>1702</v>
      </c>
      <c r="AS30" s="2033" t="s">
        <v>1702</v>
      </c>
      <c r="AT30" s="2033" t="s">
        <v>1702</v>
      </c>
      <c r="AU30" s="2033" t="s">
        <v>1703</v>
      </c>
      <c r="AV30" s="2034" t="s">
        <v>1702</v>
      </c>
      <c r="AW30" s="2033" t="s">
        <v>1703</v>
      </c>
      <c r="AX30" s="369" t="s">
        <v>1702</v>
      </c>
      <c r="AY30" s="369" t="s">
        <v>1702</v>
      </c>
      <c r="AZ30" s="369" t="s">
        <v>1703</v>
      </c>
      <c r="BA30" s="369" t="s">
        <v>1702</v>
      </c>
      <c r="BB30" s="369" t="s">
        <v>1703</v>
      </c>
      <c r="BC30" s="2032" t="s">
        <v>1703</v>
      </c>
      <c r="BD30" s="2033" t="s">
        <v>92</v>
      </c>
      <c r="BE30" s="2033" t="s">
        <v>92</v>
      </c>
      <c r="BF30" s="2033" t="s">
        <v>91</v>
      </c>
      <c r="BG30" s="2033" t="s">
        <v>91</v>
      </c>
      <c r="BH30" s="2033" t="s">
        <v>91</v>
      </c>
      <c r="BI30" s="2033" t="s">
        <v>91</v>
      </c>
      <c r="BJ30" s="2033" t="s">
        <v>91</v>
      </c>
      <c r="BK30" s="369" t="s">
        <v>92</v>
      </c>
      <c r="BL30" s="369" t="s">
        <v>92</v>
      </c>
      <c r="BM30" s="2033" t="s">
        <v>91</v>
      </c>
      <c r="BN30" s="2033" t="s">
        <v>91</v>
      </c>
      <c r="BO30" s="369" t="s">
        <v>92</v>
      </c>
      <c r="BP30" s="2033" t="s">
        <v>91</v>
      </c>
      <c r="BQ30" s="2032" t="s">
        <v>93</v>
      </c>
      <c r="BR30" s="2069" t="s">
        <v>91</v>
      </c>
      <c r="BS30" s="2090" t="s">
        <v>92</v>
      </c>
      <c r="BT30" s="2090" t="s">
        <v>91</v>
      </c>
      <c r="BU30" s="2090" t="s">
        <v>92</v>
      </c>
      <c r="BV30" s="2090" t="s">
        <v>91</v>
      </c>
      <c r="BW30" s="2090" t="s">
        <v>91</v>
      </c>
      <c r="BX30" s="2090" t="s">
        <v>91</v>
      </c>
      <c r="BY30" s="2090" t="s">
        <v>91</v>
      </c>
      <c r="BZ30" s="2090" t="s">
        <v>91</v>
      </c>
      <c r="CA30" s="2090" t="s">
        <v>91</v>
      </c>
      <c r="CB30" s="2090" t="s">
        <v>91</v>
      </c>
      <c r="CC30" s="2052" t="s">
        <v>91</v>
      </c>
      <c r="CD30" s="369" t="s">
        <v>1702</v>
      </c>
      <c r="CE30" s="369" t="s">
        <v>1703</v>
      </c>
      <c r="CF30" s="369" t="s">
        <v>1702</v>
      </c>
      <c r="CG30" s="369" t="s">
        <v>1702</v>
      </c>
      <c r="CH30" s="369" t="s">
        <v>1702</v>
      </c>
      <c r="CI30" s="369" t="s">
        <v>1703</v>
      </c>
      <c r="CJ30" s="369" t="s">
        <v>1702</v>
      </c>
      <c r="CK30" s="369" t="s">
        <v>1702</v>
      </c>
      <c r="CL30" s="369" t="s">
        <v>1702</v>
      </c>
      <c r="CM30" s="2091" t="s">
        <v>92</v>
      </c>
      <c r="CN30" s="2064" t="s">
        <v>92</v>
      </c>
      <c r="CO30" s="2064" t="s">
        <v>92</v>
      </c>
      <c r="CP30" s="2039" t="s">
        <v>91</v>
      </c>
      <c r="CQ30" s="2039" t="s">
        <v>91</v>
      </c>
      <c r="CR30" s="2040" t="s">
        <v>92</v>
      </c>
      <c r="CS30" s="369" t="s">
        <v>91</v>
      </c>
      <c r="CT30" s="369" t="s">
        <v>91</v>
      </c>
      <c r="CU30" s="369" t="s">
        <v>91</v>
      </c>
      <c r="CV30" s="369" t="s">
        <v>92</v>
      </c>
      <c r="CW30" s="369" t="s">
        <v>91</v>
      </c>
      <c r="CX30" s="369" t="s">
        <v>91</v>
      </c>
      <c r="CY30" s="2032" t="s">
        <v>91</v>
      </c>
      <c r="CZ30" s="369" t="s">
        <v>91</v>
      </c>
      <c r="DA30" s="369" t="s">
        <v>117</v>
      </c>
      <c r="DB30" s="369" t="s">
        <v>91</v>
      </c>
      <c r="DC30" s="369" t="s">
        <v>91</v>
      </c>
      <c r="DD30" s="369" t="s">
        <v>91</v>
      </c>
      <c r="DE30" s="369" t="s">
        <v>92</v>
      </c>
      <c r="DF30" s="369" t="s">
        <v>91</v>
      </c>
      <c r="DG30" s="2032" t="s">
        <v>91</v>
      </c>
      <c r="DH30" s="369" t="s">
        <v>91</v>
      </c>
      <c r="DI30" s="2041" t="s">
        <v>91</v>
      </c>
      <c r="DJ30" s="369" t="s">
        <v>91</v>
      </c>
      <c r="DK30" s="2041" t="s">
        <v>91</v>
      </c>
      <c r="DL30" s="2032" t="s">
        <v>92</v>
      </c>
      <c r="DM30" s="369" t="s">
        <v>91</v>
      </c>
      <c r="DN30" s="369" t="s">
        <v>91</v>
      </c>
      <c r="DO30" s="369" t="s">
        <v>91</v>
      </c>
      <c r="DP30" s="2032" t="s">
        <v>91</v>
      </c>
      <c r="DQ30" s="369" t="s">
        <v>91</v>
      </c>
      <c r="DR30" s="369" t="s">
        <v>92</v>
      </c>
      <c r="DS30" s="2032" t="s">
        <v>91</v>
      </c>
      <c r="DT30" s="369" t="s">
        <v>91</v>
      </c>
      <c r="DU30" s="369" t="s">
        <v>91</v>
      </c>
      <c r="DV30" s="369" t="s">
        <v>91</v>
      </c>
      <c r="DW30" s="369" t="s">
        <v>92</v>
      </c>
      <c r="DX30" s="2032" t="s">
        <v>91</v>
      </c>
      <c r="DY30" s="369" t="s">
        <v>91</v>
      </c>
      <c r="DZ30" s="369" t="s">
        <v>91</v>
      </c>
      <c r="EA30" s="369" t="s">
        <v>91</v>
      </c>
      <c r="EB30" s="369" t="s">
        <v>91</v>
      </c>
      <c r="EC30" s="369" t="s">
        <v>91</v>
      </c>
      <c r="ED30" s="369" t="s">
        <v>91</v>
      </c>
      <c r="EE30" s="2074" t="s">
        <v>92</v>
      </c>
      <c r="EF30" s="2043" t="s">
        <v>92</v>
      </c>
      <c r="EG30" s="2044" t="s">
        <v>91</v>
      </c>
      <c r="EH30" s="2044" t="s">
        <v>91</v>
      </c>
      <c r="EI30" s="2045" t="s">
        <v>91</v>
      </c>
    </row>
    <row r="31" ht="18.75" customHeight="1">
      <c r="A31" s="158"/>
      <c r="B31" s="135"/>
      <c r="C31" s="182" t="s">
        <v>111</v>
      </c>
      <c r="D31" s="369" t="s">
        <v>91</v>
      </c>
      <c r="E31" s="369" t="s">
        <v>91</v>
      </c>
      <c r="F31" s="369" t="s">
        <v>91</v>
      </c>
      <c r="G31" s="369" t="s">
        <v>91</v>
      </c>
      <c r="H31" s="369" t="s">
        <v>91</v>
      </c>
      <c r="I31" s="2032" t="s">
        <v>61</v>
      </c>
      <c r="J31" s="369" t="s">
        <v>92</v>
      </c>
      <c r="K31" s="369" t="s">
        <v>92</v>
      </c>
      <c r="L31" s="369" t="s">
        <v>92</v>
      </c>
      <c r="M31" s="369" t="s">
        <v>91</v>
      </c>
      <c r="N31" s="369" t="s">
        <v>92</v>
      </c>
      <c r="O31" s="2032" t="s">
        <v>92</v>
      </c>
      <c r="P31" s="369" t="s">
        <v>92</v>
      </c>
      <c r="Q31" s="369" t="s">
        <v>91</v>
      </c>
      <c r="R31" s="369" t="s">
        <v>92</v>
      </c>
      <c r="S31" s="369" t="s">
        <v>92</v>
      </c>
      <c r="T31" s="369" t="s">
        <v>92</v>
      </c>
      <c r="U31" s="369" t="s">
        <v>91</v>
      </c>
      <c r="V31" s="369" t="s">
        <v>92</v>
      </c>
      <c r="W31" s="2032" t="s">
        <v>92</v>
      </c>
      <c r="X31" s="369" t="s">
        <v>92</v>
      </c>
      <c r="Y31" s="369" t="s">
        <v>92</v>
      </c>
      <c r="Z31" s="369" t="s">
        <v>92</v>
      </c>
      <c r="AA31" s="369" t="s">
        <v>91</v>
      </c>
      <c r="AB31" s="369" t="s">
        <v>91</v>
      </c>
      <c r="AC31" s="369" t="s">
        <v>92</v>
      </c>
      <c r="AD31" s="2032" t="s">
        <v>91</v>
      </c>
      <c r="AE31" s="369" t="s">
        <v>92</v>
      </c>
      <c r="AF31" s="369" t="s">
        <v>92</v>
      </c>
      <c r="AG31" s="369" t="s">
        <v>91</v>
      </c>
      <c r="AH31" s="369" t="s">
        <v>92</v>
      </c>
      <c r="AI31" s="369" t="s">
        <v>91</v>
      </c>
      <c r="AJ31" s="369" t="s">
        <v>91</v>
      </c>
      <c r="AK31" s="369" t="s">
        <v>92</v>
      </c>
      <c r="AL31" s="369" t="s">
        <v>91</v>
      </c>
      <c r="AM31" s="2032" t="s">
        <v>91</v>
      </c>
      <c r="AN31" s="369" t="s">
        <v>1702</v>
      </c>
      <c r="AO31" s="369" t="s">
        <v>1702</v>
      </c>
      <c r="AP31" s="2033" t="s">
        <v>1703</v>
      </c>
      <c r="AQ31" s="2033" t="s">
        <v>1703</v>
      </c>
      <c r="AR31" s="2033" t="s">
        <v>1702</v>
      </c>
      <c r="AS31" s="2033" t="s">
        <v>1702</v>
      </c>
      <c r="AT31" s="2033" t="s">
        <v>1702</v>
      </c>
      <c r="AU31" s="2033" t="s">
        <v>1703</v>
      </c>
      <c r="AV31" s="2034" t="s">
        <v>1702</v>
      </c>
      <c r="AW31" s="2033" t="s">
        <v>1703</v>
      </c>
      <c r="AX31" s="369" t="s">
        <v>1702</v>
      </c>
      <c r="AY31" s="369" t="s">
        <v>1702</v>
      </c>
      <c r="AZ31" s="369" t="s">
        <v>1703</v>
      </c>
      <c r="BA31" s="369" t="s">
        <v>1702</v>
      </c>
      <c r="BB31" s="369" t="s">
        <v>1703</v>
      </c>
      <c r="BC31" s="2032" t="s">
        <v>1703</v>
      </c>
      <c r="BD31" s="2033" t="s">
        <v>92</v>
      </c>
      <c r="BE31" s="2033" t="s">
        <v>92</v>
      </c>
      <c r="BF31" s="2033" t="s">
        <v>91</v>
      </c>
      <c r="BG31" s="2033" t="s">
        <v>91</v>
      </c>
      <c r="BH31" s="2033" t="s">
        <v>91</v>
      </c>
      <c r="BI31" s="2033" t="s">
        <v>91</v>
      </c>
      <c r="BJ31" s="2033" t="s">
        <v>91</v>
      </c>
      <c r="BK31" s="369" t="s">
        <v>92</v>
      </c>
      <c r="BL31" s="369" t="s">
        <v>92</v>
      </c>
      <c r="BM31" s="2033" t="s">
        <v>91</v>
      </c>
      <c r="BN31" s="2033" t="s">
        <v>91</v>
      </c>
      <c r="BO31" s="369" t="s">
        <v>92</v>
      </c>
      <c r="BP31" s="2033" t="s">
        <v>91</v>
      </c>
      <c r="BQ31" s="2032" t="s">
        <v>93</v>
      </c>
      <c r="BR31" s="2069" t="s">
        <v>91</v>
      </c>
      <c r="BS31" s="2090" t="s">
        <v>92</v>
      </c>
      <c r="BT31" s="2090" t="s">
        <v>91</v>
      </c>
      <c r="BU31" s="2090" t="s">
        <v>92</v>
      </c>
      <c r="BV31" s="2090" t="s">
        <v>91</v>
      </c>
      <c r="BW31" s="2090" t="s">
        <v>91</v>
      </c>
      <c r="BX31" s="2090" t="s">
        <v>91</v>
      </c>
      <c r="BY31" s="2090" t="s">
        <v>91</v>
      </c>
      <c r="BZ31" s="2090" t="s">
        <v>91</v>
      </c>
      <c r="CA31" s="2090" t="s">
        <v>91</v>
      </c>
      <c r="CB31" s="2090" t="s">
        <v>91</v>
      </c>
      <c r="CC31" s="2052" t="s">
        <v>91</v>
      </c>
      <c r="CD31" s="369" t="s">
        <v>1702</v>
      </c>
      <c r="CE31" s="369" t="s">
        <v>1703</v>
      </c>
      <c r="CF31" s="369" t="s">
        <v>1702</v>
      </c>
      <c r="CG31" s="369" t="s">
        <v>1702</v>
      </c>
      <c r="CH31" s="369" t="s">
        <v>1702</v>
      </c>
      <c r="CI31" s="369" t="s">
        <v>1703</v>
      </c>
      <c r="CJ31" s="369" t="s">
        <v>1702</v>
      </c>
      <c r="CK31" s="369" t="s">
        <v>1702</v>
      </c>
      <c r="CL31" s="369" t="s">
        <v>1702</v>
      </c>
      <c r="CM31" s="2091" t="s">
        <v>92</v>
      </c>
      <c r="CN31" s="2064" t="s">
        <v>92</v>
      </c>
      <c r="CO31" s="2064" t="s">
        <v>92</v>
      </c>
      <c r="CP31" s="2039" t="s">
        <v>91</v>
      </c>
      <c r="CQ31" s="2039" t="s">
        <v>91</v>
      </c>
      <c r="CR31" s="2040" t="s">
        <v>92</v>
      </c>
      <c r="CS31" s="369" t="s">
        <v>91</v>
      </c>
      <c r="CT31" s="369" t="s">
        <v>91</v>
      </c>
      <c r="CU31" s="369" t="s">
        <v>91</v>
      </c>
      <c r="CV31" s="369" t="s">
        <v>92</v>
      </c>
      <c r="CW31" s="369" t="s">
        <v>91</v>
      </c>
      <c r="CX31" s="369" t="s">
        <v>91</v>
      </c>
      <c r="CY31" s="2032" t="s">
        <v>91</v>
      </c>
      <c r="CZ31" s="369" t="s">
        <v>91</v>
      </c>
      <c r="DA31" s="369" t="s">
        <v>117</v>
      </c>
      <c r="DB31" s="369" t="s">
        <v>91</v>
      </c>
      <c r="DC31" s="369" t="s">
        <v>91</v>
      </c>
      <c r="DD31" s="369" t="s">
        <v>91</v>
      </c>
      <c r="DE31" s="369" t="s">
        <v>92</v>
      </c>
      <c r="DF31" s="369" t="s">
        <v>91</v>
      </c>
      <c r="DG31" s="2032" t="s">
        <v>91</v>
      </c>
      <c r="DH31" s="369" t="s">
        <v>91</v>
      </c>
      <c r="DI31" s="2041" t="s">
        <v>91</v>
      </c>
      <c r="DJ31" s="369" t="s">
        <v>91</v>
      </c>
      <c r="DK31" s="2041" t="s">
        <v>91</v>
      </c>
      <c r="DL31" s="2032" t="s">
        <v>92</v>
      </c>
      <c r="DM31" s="369" t="s">
        <v>91</v>
      </c>
      <c r="DN31" s="369" t="s">
        <v>91</v>
      </c>
      <c r="DO31" s="369" t="s">
        <v>91</v>
      </c>
      <c r="DP31" s="2032" t="s">
        <v>91</v>
      </c>
      <c r="DQ31" s="369" t="s">
        <v>91</v>
      </c>
      <c r="DR31" s="369" t="s">
        <v>92</v>
      </c>
      <c r="DS31" s="2032" t="s">
        <v>91</v>
      </c>
      <c r="DT31" s="369" t="s">
        <v>91</v>
      </c>
      <c r="DU31" s="369" t="s">
        <v>91</v>
      </c>
      <c r="DV31" s="369" t="s">
        <v>91</v>
      </c>
      <c r="DW31" s="369" t="s">
        <v>92</v>
      </c>
      <c r="DX31" s="2032" t="s">
        <v>91</v>
      </c>
      <c r="DY31" s="369" t="s">
        <v>91</v>
      </c>
      <c r="DZ31" s="369" t="s">
        <v>91</v>
      </c>
      <c r="EA31" s="369" t="s">
        <v>91</v>
      </c>
      <c r="EB31" s="369" t="s">
        <v>91</v>
      </c>
      <c r="EC31" s="369" t="s">
        <v>91</v>
      </c>
      <c r="ED31" s="369" t="s">
        <v>91</v>
      </c>
      <c r="EE31" s="2074" t="s">
        <v>92</v>
      </c>
      <c r="EF31" s="2043" t="s">
        <v>92</v>
      </c>
      <c r="EG31" s="2044" t="s">
        <v>91</v>
      </c>
      <c r="EH31" s="2044" t="s">
        <v>91</v>
      </c>
      <c r="EI31" s="2045" t="s">
        <v>91</v>
      </c>
    </row>
    <row r="32" ht="18.75" customHeight="1">
      <c r="A32" s="158"/>
      <c r="B32" s="135"/>
      <c r="C32" s="182" t="s">
        <v>112</v>
      </c>
      <c r="D32" s="369" t="s">
        <v>91</v>
      </c>
      <c r="E32" s="369" t="s">
        <v>91</v>
      </c>
      <c r="F32" s="369" t="s">
        <v>91</v>
      </c>
      <c r="G32" s="369" t="s">
        <v>91</v>
      </c>
      <c r="H32" s="369" t="s">
        <v>91</v>
      </c>
      <c r="I32" s="2032" t="s">
        <v>61</v>
      </c>
      <c r="J32" s="369" t="s">
        <v>92</v>
      </c>
      <c r="K32" s="369" t="s">
        <v>92</v>
      </c>
      <c r="L32" s="369" t="s">
        <v>92</v>
      </c>
      <c r="M32" s="369" t="s">
        <v>91</v>
      </c>
      <c r="N32" s="369" t="s">
        <v>92</v>
      </c>
      <c r="O32" s="2032" t="s">
        <v>92</v>
      </c>
      <c r="P32" s="369" t="s">
        <v>92</v>
      </c>
      <c r="Q32" s="369" t="s">
        <v>91</v>
      </c>
      <c r="R32" s="369" t="s">
        <v>92</v>
      </c>
      <c r="S32" s="369" t="s">
        <v>92</v>
      </c>
      <c r="T32" s="369" t="s">
        <v>92</v>
      </c>
      <c r="U32" s="369" t="s">
        <v>91</v>
      </c>
      <c r="V32" s="369" t="s">
        <v>92</v>
      </c>
      <c r="W32" s="2032" t="s">
        <v>92</v>
      </c>
      <c r="X32" s="369" t="s">
        <v>92</v>
      </c>
      <c r="Y32" s="369" t="s">
        <v>92</v>
      </c>
      <c r="Z32" s="369" t="s">
        <v>92</v>
      </c>
      <c r="AA32" s="369" t="s">
        <v>91</v>
      </c>
      <c r="AB32" s="369" t="s">
        <v>91</v>
      </c>
      <c r="AC32" s="369" t="s">
        <v>92</v>
      </c>
      <c r="AD32" s="2032" t="s">
        <v>91</v>
      </c>
      <c r="AE32" s="369" t="s">
        <v>92</v>
      </c>
      <c r="AF32" s="369" t="s">
        <v>92</v>
      </c>
      <c r="AG32" s="369" t="s">
        <v>91</v>
      </c>
      <c r="AH32" s="369" t="s">
        <v>92</v>
      </c>
      <c r="AI32" s="369" t="s">
        <v>91</v>
      </c>
      <c r="AJ32" s="369" t="s">
        <v>91</v>
      </c>
      <c r="AK32" s="369" t="s">
        <v>92</v>
      </c>
      <c r="AL32" s="369" t="s">
        <v>91</v>
      </c>
      <c r="AM32" s="2032" t="s">
        <v>91</v>
      </c>
      <c r="AN32" s="369" t="s">
        <v>1702</v>
      </c>
      <c r="AO32" s="369" t="s">
        <v>1702</v>
      </c>
      <c r="AP32" s="2033" t="s">
        <v>1703</v>
      </c>
      <c r="AQ32" s="2033" t="s">
        <v>1703</v>
      </c>
      <c r="AR32" s="2033" t="s">
        <v>1702</v>
      </c>
      <c r="AS32" s="2033" t="s">
        <v>1702</v>
      </c>
      <c r="AT32" s="2033" t="s">
        <v>1702</v>
      </c>
      <c r="AU32" s="2033" t="s">
        <v>1703</v>
      </c>
      <c r="AV32" s="2034" t="s">
        <v>117</v>
      </c>
      <c r="AW32" s="2033" t="s">
        <v>1702</v>
      </c>
      <c r="AX32" s="369" t="s">
        <v>1702</v>
      </c>
      <c r="AY32" s="369" t="s">
        <v>1702</v>
      </c>
      <c r="AZ32" s="369" t="s">
        <v>1703</v>
      </c>
      <c r="BA32" s="369" t="s">
        <v>1702</v>
      </c>
      <c r="BB32" s="369" t="s">
        <v>1703</v>
      </c>
      <c r="BC32" s="2032" t="s">
        <v>1703</v>
      </c>
      <c r="BD32" s="2033" t="s">
        <v>92</v>
      </c>
      <c r="BE32" s="2033" t="s">
        <v>92</v>
      </c>
      <c r="BF32" s="2033" t="s">
        <v>91</v>
      </c>
      <c r="BG32" s="2033" t="s">
        <v>91</v>
      </c>
      <c r="BH32" s="2033" t="s">
        <v>91</v>
      </c>
      <c r="BI32" s="2033" t="s">
        <v>91</v>
      </c>
      <c r="BJ32" s="2033" t="s">
        <v>91</v>
      </c>
      <c r="BK32" s="369" t="s">
        <v>92</v>
      </c>
      <c r="BL32" s="369" t="s">
        <v>92</v>
      </c>
      <c r="BM32" s="2033" t="s">
        <v>91</v>
      </c>
      <c r="BN32" s="2033" t="s">
        <v>91</v>
      </c>
      <c r="BO32" s="369" t="s">
        <v>92</v>
      </c>
      <c r="BP32" s="2033" t="s">
        <v>91</v>
      </c>
      <c r="BQ32" s="2032" t="s">
        <v>93</v>
      </c>
      <c r="BR32" s="2069" t="s">
        <v>91</v>
      </c>
      <c r="BS32" s="2090" t="s">
        <v>92</v>
      </c>
      <c r="BT32" s="2090" t="s">
        <v>91</v>
      </c>
      <c r="BU32" s="2090" t="s">
        <v>92</v>
      </c>
      <c r="BV32" s="2090" t="s">
        <v>91</v>
      </c>
      <c r="BW32" s="2090" t="s">
        <v>91</v>
      </c>
      <c r="BX32" s="2090" t="s">
        <v>91</v>
      </c>
      <c r="BY32" s="2090" t="s">
        <v>91</v>
      </c>
      <c r="BZ32" s="2090" t="s">
        <v>91</v>
      </c>
      <c r="CA32" s="2090" t="s">
        <v>91</v>
      </c>
      <c r="CB32" s="2090" t="s">
        <v>91</v>
      </c>
      <c r="CC32" s="2052" t="s">
        <v>91</v>
      </c>
      <c r="CD32" s="369" t="s">
        <v>1702</v>
      </c>
      <c r="CE32" s="369" t="s">
        <v>1703</v>
      </c>
      <c r="CF32" s="369" t="s">
        <v>1702</v>
      </c>
      <c r="CG32" s="369" t="s">
        <v>1702</v>
      </c>
      <c r="CH32" s="369" t="s">
        <v>1702</v>
      </c>
      <c r="CI32" s="369" t="s">
        <v>1703</v>
      </c>
      <c r="CJ32" s="369" t="s">
        <v>1702</v>
      </c>
      <c r="CK32" s="369" t="s">
        <v>1702</v>
      </c>
      <c r="CL32" s="369" t="s">
        <v>1702</v>
      </c>
      <c r="CM32" s="2091" t="s">
        <v>92</v>
      </c>
      <c r="CN32" s="2064" t="s">
        <v>92</v>
      </c>
      <c r="CO32" s="2064" t="s">
        <v>92</v>
      </c>
      <c r="CP32" s="2039" t="s">
        <v>91</v>
      </c>
      <c r="CQ32" s="2039" t="s">
        <v>91</v>
      </c>
      <c r="CR32" s="2040" t="s">
        <v>92</v>
      </c>
      <c r="CS32" s="369" t="s">
        <v>91</v>
      </c>
      <c r="CT32" s="369" t="s">
        <v>91</v>
      </c>
      <c r="CU32" s="369" t="s">
        <v>91</v>
      </c>
      <c r="CV32" s="369" t="s">
        <v>92</v>
      </c>
      <c r="CW32" s="369" t="s">
        <v>91</v>
      </c>
      <c r="CX32" s="369" t="s">
        <v>91</v>
      </c>
      <c r="CY32" s="2032" t="s">
        <v>91</v>
      </c>
      <c r="CZ32" s="369" t="s">
        <v>91</v>
      </c>
      <c r="DA32" s="369" t="s">
        <v>117</v>
      </c>
      <c r="DB32" s="369" t="s">
        <v>91</v>
      </c>
      <c r="DC32" s="369" t="s">
        <v>91</v>
      </c>
      <c r="DD32" s="369" t="s">
        <v>91</v>
      </c>
      <c r="DE32" s="369" t="s">
        <v>92</v>
      </c>
      <c r="DF32" s="369" t="s">
        <v>91</v>
      </c>
      <c r="DG32" s="2032" t="s">
        <v>91</v>
      </c>
      <c r="DH32" s="369" t="s">
        <v>91</v>
      </c>
      <c r="DI32" s="369" t="s">
        <v>91</v>
      </c>
      <c r="DJ32" s="369" t="s">
        <v>91</v>
      </c>
      <c r="DK32" s="369" t="s">
        <v>91</v>
      </c>
      <c r="DL32" s="2032" t="s">
        <v>92</v>
      </c>
      <c r="DM32" s="369" t="s">
        <v>91</v>
      </c>
      <c r="DN32" s="369" t="s">
        <v>91</v>
      </c>
      <c r="DO32" s="369" t="s">
        <v>91</v>
      </c>
      <c r="DP32" s="2032" t="s">
        <v>91</v>
      </c>
      <c r="DQ32" s="369" t="s">
        <v>91</v>
      </c>
      <c r="DR32" s="369" t="s">
        <v>92</v>
      </c>
      <c r="DS32" s="2032" t="s">
        <v>91</v>
      </c>
      <c r="DT32" s="369" t="s">
        <v>91</v>
      </c>
      <c r="DU32" s="369" t="s">
        <v>91</v>
      </c>
      <c r="DV32" s="369" t="s">
        <v>91</v>
      </c>
      <c r="DW32" s="369" t="s">
        <v>92</v>
      </c>
      <c r="DX32" s="2032" t="s">
        <v>91</v>
      </c>
      <c r="DY32" s="369" t="s">
        <v>91</v>
      </c>
      <c r="DZ32" s="369" t="s">
        <v>91</v>
      </c>
      <c r="EA32" s="369" t="s">
        <v>91</v>
      </c>
      <c r="EB32" s="369" t="s">
        <v>91</v>
      </c>
      <c r="EC32" s="369" t="s">
        <v>91</v>
      </c>
      <c r="ED32" s="369" t="s">
        <v>91</v>
      </c>
      <c r="EE32" s="2074" t="s">
        <v>92</v>
      </c>
      <c r="EF32" s="2043" t="s">
        <v>92</v>
      </c>
      <c r="EG32" s="2044" t="s">
        <v>91</v>
      </c>
      <c r="EH32" s="2044" t="s">
        <v>91</v>
      </c>
      <c r="EI32" s="2045" t="s">
        <v>91</v>
      </c>
    </row>
    <row r="33" ht="18.75" customHeight="1">
      <c r="A33" s="158"/>
      <c r="B33" s="135"/>
      <c r="C33" s="2092" t="s">
        <v>1359</v>
      </c>
      <c r="D33" s="369" t="s">
        <v>91</v>
      </c>
      <c r="E33" s="369" t="s">
        <v>91</v>
      </c>
      <c r="F33" s="369" t="s">
        <v>91</v>
      </c>
      <c r="G33" s="369" t="s">
        <v>91</v>
      </c>
      <c r="H33" s="369" t="s">
        <v>91</v>
      </c>
      <c r="I33" s="2032" t="s">
        <v>61</v>
      </c>
      <c r="J33" s="369" t="s">
        <v>92</v>
      </c>
      <c r="K33" s="369" t="s">
        <v>92</v>
      </c>
      <c r="L33" s="369" t="s">
        <v>92</v>
      </c>
      <c r="M33" s="369" t="s">
        <v>91</v>
      </c>
      <c r="N33" s="369" t="s">
        <v>92</v>
      </c>
      <c r="O33" s="2032" t="s">
        <v>92</v>
      </c>
      <c r="P33" s="369" t="s">
        <v>92</v>
      </c>
      <c r="Q33" s="369" t="s">
        <v>91</v>
      </c>
      <c r="R33" s="369" t="s">
        <v>92</v>
      </c>
      <c r="S33" s="369" t="s">
        <v>92</v>
      </c>
      <c r="T33" s="369" t="s">
        <v>92</v>
      </c>
      <c r="U33" s="369" t="s">
        <v>91</v>
      </c>
      <c r="V33" s="369" t="s">
        <v>92</v>
      </c>
      <c r="W33" s="2032" t="s">
        <v>92</v>
      </c>
      <c r="X33" s="369" t="s">
        <v>92</v>
      </c>
      <c r="Y33" s="369" t="s">
        <v>92</v>
      </c>
      <c r="Z33" s="369" t="s">
        <v>92</v>
      </c>
      <c r="AA33" s="369" t="s">
        <v>91</v>
      </c>
      <c r="AB33" s="369" t="s">
        <v>91</v>
      </c>
      <c r="AC33" s="369" t="s">
        <v>92</v>
      </c>
      <c r="AD33" s="2032" t="s">
        <v>91</v>
      </c>
      <c r="AE33" s="369" t="s">
        <v>92</v>
      </c>
      <c r="AF33" s="369" t="s">
        <v>92</v>
      </c>
      <c r="AG33" s="369" t="s">
        <v>91</v>
      </c>
      <c r="AH33" s="369" t="s">
        <v>92</v>
      </c>
      <c r="AI33" s="369" t="s">
        <v>91</v>
      </c>
      <c r="AJ33" s="369" t="s">
        <v>91</v>
      </c>
      <c r="AK33" s="369" t="s">
        <v>92</v>
      </c>
      <c r="AL33" s="369" t="s">
        <v>91</v>
      </c>
      <c r="AM33" s="2032" t="s">
        <v>91</v>
      </c>
      <c r="AN33" s="369" t="s">
        <v>93</v>
      </c>
      <c r="AO33" s="369" t="s">
        <v>93</v>
      </c>
      <c r="AP33" s="2047" t="s">
        <v>93</v>
      </c>
      <c r="AQ33" s="2047" t="s">
        <v>93</v>
      </c>
      <c r="AR33" s="2047" t="s">
        <v>93</v>
      </c>
      <c r="AS33" s="2047" t="s">
        <v>93</v>
      </c>
      <c r="AT33" s="2047" t="s">
        <v>93</v>
      </c>
      <c r="AU33" s="2047" t="s">
        <v>93</v>
      </c>
      <c r="AV33" s="2048" t="s">
        <v>93</v>
      </c>
      <c r="AW33" s="2047" t="s">
        <v>93</v>
      </c>
      <c r="AX33" s="369" t="s">
        <v>1702</v>
      </c>
      <c r="AY33" s="369" t="s">
        <v>1702</v>
      </c>
      <c r="AZ33" s="369" t="s">
        <v>1703</v>
      </c>
      <c r="BA33" s="369" t="s">
        <v>1702</v>
      </c>
      <c r="BB33" s="369" t="s">
        <v>1703</v>
      </c>
      <c r="BC33" s="2032" t="s">
        <v>1703</v>
      </c>
      <c r="BD33" s="2033" t="s">
        <v>92</v>
      </c>
      <c r="BE33" s="2033" t="s">
        <v>92</v>
      </c>
      <c r="BF33" s="2033" t="s">
        <v>91</v>
      </c>
      <c r="BG33" s="2033" t="s">
        <v>91</v>
      </c>
      <c r="BH33" s="2033" t="s">
        <v>91</v>
      </c>
      <c r="BI33" s="2033" t="s">
        <v>91</v>
      </c>
      <c r="BJ33" s="2033" t="s">
        <v>91</v>
      </c>
      <c r="BK33" s="369" t="s">
        <v>92</v>
      </c>
      <c r="BL33" s="369" t="s">
        <v>92</v>
      </c>
      <c r="BM33" s="2033" t="s">
        <v>91</v>
      </c>
      <c r="BN33" s="2033" t="s">
        <v>91</v>
      </c>
      <c r="BO33" s="369" t="s">
        <v>92</v>
      </c>
      <c r="BP33" s="2033" t="s">
        <v>91</v>
      </c>
      <c r="BQ33" s="2032" t="s">
        <v>93</v>
      </c>
      <c r="BR33" s="2053" t="s">
        <v>118</v>
      </c>
      <c r="BS33" s="2054" t="s">
        <v>118</v>
      </c>
      <c r="BT33" s="2054" t="s">
        <v>118</v>
      </c>
      <c r="BU33" s="2054" t="s">
        <v>118</v>
      </c>
      <c r="BV33" s="2054" t="s">
        <v>118</v>
      </c>
      <c r="BW33" s="2054" t="s">
        <v>118</v>
      </c>
      <c r="BX33" s="2054" t="s">
        <v>118</v>
      </c>
      <c r="BY33" s="2054" t="s">
        <v>118</v>
      </c>
      <c r="BZ33" s="2054" t="s">
        <v>118</v>
      </c>
      <c r="CA33" s="2054" t="s">
        <v>118</v>
      </c>
      <c r="CB33" s="2054" t="s">
        <v>118</v>
      </c>
      <c r="CC33" s="2055" t="s">
        <v>118</v>
      </c>
      <c r="CD33" s="2041" t="s">
        <v>118</v>
      </c>
      <c r="CE33" s="2041" t="s">
        <v>118</v>
      </c>
      <c r="CF33" s="2041" t="s">
        <v>118</v>
      </c>
      <c r="CG33" s="2041" t="s">
        <v>118</v>
      </c>
      <c r="CH33" s="2041" t="s">
        <v>118</v>
      </c>
      <c r="CI33" s="2041" t="s">
        <v>118</v>
      </c>
      <c r="CJ33" s="2041" t="s">
        <v>118</v>
      </c>
      <c r="CK33" s="2041" t="s">
        <v>118</v>
      </c>
      <c r="CL33" s="2041" t="s">
        <v>118</v>
      </c>
      <c r="CM33" s="2053" t="s">
        <v>118</v>
      </c>
      <c r="CN33" s="2054" t="s">
        <v>118</v>
      </c>
      <c r="CO33" s="2054" t="s">
        <v>118</v>
      </c>
      <c r="CP33" s="2054" t="s">
        <v>118</v>
      </c>
      <c r="CQ33" s="2054" t="s">
        <v>118</v>
      </c>
      <c r="CR33" s="2055" t="s">
        <v>118</v>
      </c>
      <c r="CS33" s="2041" t="s">
        <v>118</v>
      </c>
      <c r="CT33" s="2041" t="s">
        <v>118</v>
      </c>
      <c r="CU33" s="2041" t="s">
        <v>118</v>
      </c>
      <c r="CV33" s="2041" t="s">
        <v>118</v>
      </c>
      <c r="CW33" s="2041" t="s">
        <v>118</v>
      </c>
      <c r="CX33" s="2041" t="s">
        <v>118</v>
      </c>
      <c r="CY33" s="2093" t="s">
        <v>118</v>
      </c>
      <c r="CZ33" s="2041" t="s">
        <v>118</v>
      </c>
      <c r="DA33" s="2041" t="s">
        <v>118</v>
      </c>
      <c r="DB33" s="2041" t="s">
        <v>118</v>
      </c>
      <c r="DC33" s="2041" t="s">
        <v>118</v>
      </c>
      <c r="DD33" s="2041" t="s">
        <v>118</v>
      </c>
      <c r="DE33" s="2041" t="s">
        <v>118</v>
      </c>
      <c r="DF33" s="2041" t="s">
        <v>118</v>
      </c>
      <c r="DG33" s="2093" t="s">
        <v>118</v>
      </c>
      <c r="DH33" s="2041" t="s">
        <v>118</v>
      </c>
      <c r="DI33" s="2041" t="s">
        <v>118</v>
      </c>
      <c r="DJ33" s="2041" t="s">
        <v>118</v>
      </c>
      <c r="DK33" s="2041" t="s">
        <v>118</v>
      </c>
      <c r="DL33" s="2093" t="s">
        <v>118</v>
      </c>
      <c r="DM33" s="2041" t="s">
        <v>118</v>
      </c>
      <c r="DN33" s="2041" t="s">
        <v>118</v>
      </c>
      <c r="DO33" s="2041" t="s">
        <v>118</v>
      </c>
      <c r="DP33" s="2093" t="s">
        <v>118</v>
      </c>
      <c r="DQ33" s="2041" t="s">
        <v>118</v>
      </c>
      <c r="DR33" s="2041" t="s">
        <v>118</v>
      </c>
      <c r="DS33" s="2093" t="s">
        <v>118</v>
      </c>
      <c r="DT33" s="2041" t="s">
        <v>118</v>
      </c>
      <c r="DU33" s="2041" t="s">
        <v>118</v>
      </c>
      <c r="DV33" s="2041" t="s">
        <v>118</v>
      </c>
      <c r="DW33" s="2041" t="s">
        <v>118</v>
      </c>
      <c r="DX33" s="2093" t="s">
        <v>118</v>
      </c>
      <c r="DY33" s="2041" t="s">
        <v>118</v>
      </c>
      <c r="DZ33" s="2041" t="s">
        <v>118</v>
      </c>
      <c r="EA33" s="2041" t="s">
        <v>118</v>
      </c>
      <c r="EB33" s="2041" t="s">
        <v>118</v>
      </c>
      <c r="EC33" s="2041" t="s">
        <v>118</v>
      </c>
      <c r="ED33" s="2093" t="s">
        <v>118</v>
      </c>
      <c r="EE33" s="369" t="s">
        <v>118</v>
      </c>
      <c r="EF33" s="369" t="s">
        <v>118</v>
      </c>
      <c r="EG33" s="369" t="s">
        <v>118</v>
      </c>
      <c r="EH33" s="369" t="s">
        <v>118</v>
      </c>
      <c r="EI33" s="369" t="s">
        <v>118</v>
      </c>
    </row>
    <row r="34" ht="18.75" customHeight="1">
      <c r="A34" s="158"/>
      <c r="B34" s="135"/>
      <c r="C34" s="2092" t="s">
        <v>98</v>
      </c>
      <c r="D34" s="2041" t="s">
        <v>118</v>
      </c>
      <c r="E34" s="2041" t="s">
        <v>118</v>
      </c>
      <c r="F34" s="2041" t="s">
        <v>118</v>
      </c>
      <c r="G34" s="2041" t="s">
        <v>118</v>
      </c>
      <c r="H34" s="2041" t="s">
        <v>118</v>
      </c>
      <c r="I34" s="2093" t="s">
        <v>118</v>
      </c>
      <c r="J34" s="2041" t="s">
        <v>118</v>
      </c>
      <c r="K34" s="2041" t="s">
        <v>118</v>
      </c>
      <c r="L34" s="2041" t="s">
        <v>118</v>
      </c>
      <c r="M34" s="2041" t="s">
        <v>118</v>
      </c>
      <c r="N34" s="2041" t="s">
        <v>118</v>
      </c>
      <c r="O34" s="2093" t="s">
        <v>118</v>
      </c>
      <c r="P34" s="2041" t="s">
        <v>118</v>
      </c>
      <c r="Q34" s="2041" t="s">
        <v>118</v>
      </c>
      <c r="R34" s="2041" t="s">
        <v>118</v>
      </c>
      <c r="S34" s="2041" t="s">
        <v>118</v>
      </c>
      <c r="T34" s="2041" t="s">
        <v>118</v>
      </c>
      <c r="U34" s="2041" t="s">
        <v>118</v>
      </c>
      <c r="V34" s="2041" t="s">
        <v>118</v>
      </c>
      <c r="W34" s="2093" t="s">
        <v>118</v>
      </c>
      <c r="X34" s="2041" t="s">
        <v>118</v>
      </c>
      <c r="Y34" s="2041" t="s">
        <v>118</v>
      </c>
      <c r="Z34" s="2041" t="s">
        <v>118</v>
      </c>
      <c r="AA34" s="2041" t="s">
        <v>118</v>
      </c>
      <c r="AB34" s="2041" t="s">
        <v>118</v>
      </c>
      <c r="AC34" s="2041" t="s">
        <v>118</v>
      </c>
      <c r="AD34" s="2093" t="s">
        <v>118</v>
      </c>
      <c r="AE34" s="2041" t="s">
        <v>118</v>
      </c>
      <c r="AF34" s="2041" t="s">
        <v>118</v>
      </c>
      <c r="AG34" s="2041" t="s">
        <v>118</v>
      </c>
      <c r="AH34" s="2041" t="s">
        <v>118</v>
      </c>
      <c r="AI34" s="2041" t="s">
        <v>118</v>
      </c>
      <c r="AJ34" s="2041" t="s">
        <v>118</v>
      </c>
      <c r="AK34" s="2041" t="s">
        <v>118</v>
      </c>
      <c r="AL34" s="2041" t="s">
        <v>118</v>
      </c>
      <c r="AM34" s="2093" t="s">
        <v>118</v>
      </c>
      <c r="AN34" s="2041" t="s">
        <v>118</v>
      </c>
      <c r="AO34" s="2041" t="s">
        <v>118</v>
      </c>
      <c r="AP34" s="2041" t="s">
        <v>118</v>
      </c>
      <c r="AQ34" s="2041" t="s">
        <v>118</v>
      </c>
      <c r="AR34" s="2041" t="s">
        <v>118</v>
      </c>
      <c r="AS34" s="2041" t="s">
        <v>118</v>
      </c>
      <c r="AT34" s="2041" t="s">
        <v>118</v>
      </c>
      <c r="AU34" s="2041" t="s">
        <v>118</v>
      </c>
      <c r="AV34" s="2093" t="s">
        <v>118</v>
      </c>
      <c r="AW34" s="2041" t="s">
        <v>118</v>
      </c>
      <c r="AX34" s="2041" t="s">
        <v>118</v>
      </c>
      <c r="AY34" s="2041" t="s">
        <v>118</v>
      </c>
      <c r="AZ34" s="2041" t="s">
        <v>118</v>
      </c>
      <c r="BA34" s="2041" t="s">
        <v>118</v>
      </c>
      <c r="BB34" s="2041" t="s">
        <v>118</v>
      </c>
      <c r="BC34" s="2093" t="s">
        <v>118</v>
      </c>
      <c r="BD34" s="2041" t="s">
        <v>118</v>
      </c>
      <c r="BE34" s="2041" t="s">
        <v>118</v>
      </c>
      <c r="BF34" s="2041" t="s">
        <v>118</v>
      </c>
      <c r="BG34" s="2041" t="s">
        <v>118</v>
      </c>
      <c r="BH34" s="2041" t="s">
        <v>118</v>
      </c>
      <c r="BI34" s="2041" t="s">
        <v>118</v>
      </c>
      <c r="BJ34" s="2041" t="s">
        <v>118</v>
      </c>
      <c r="BK34" s="2041" t="s">
        <v>118</v>
      </c>
      <c r="BL34" s="2041" t="s">
        <v>118</v>
      </c>
      <c r="BM34" s="2041" t="s">
        <v>118</v>
      </c>
      <c r="BN34" s="2041" t="s">
        <v>118</v>
      </c>
      <c r="BO34" s="2041" t="s">
        <v>118</v>
      </c>
      <c r="BP34" s="2041" t="s">
        <v>118</v>
      </c>
      <c r="BQ34" s="2093" t="s">
        <v>118</v>
      </c>
      <c r="BR34" s="2059" t="s">
        <v>93</v>
      </c>
      <c r="BS34" s="2060" t="s">
        <v>93</v>
      </c>
      <c r="BT34" s="2060" t="s">
        <v>93</v>
      </c>
      <c r="BU34" s="2060" t="s">
        <v>93</v>
      </c>
      <c r="BV34" s="2060" t="s">
        <v>93</v>
      </c>
      <c r="BW34" s="2060" t="s">
        <v>93</v>
      </c>
      <c r="BX34" s="2036" t="s">
        <v>93</v>
      </c>
      <c r="BY34" s="2036" t="s">
        <v>93</v>
      </c>
      <c r="BZ34" s="2036" t="s">
        <v>93</v>
      </c>
      <c r="CA34" s="2036" t="s">
        <v>93</v>
      </c>
      <c r="CB34" s="2036" t="s">
        <v>93</v>
      </c>
      <c r="CC34" s="2037" t="s">
        <v>93</v>
      </c>
      <c r="CD34" s="369" t="s">
        <v>1702</v>
      </c>
      <c r="CE34" s="369" t="s">
        <v>1702</v>
      </c>
      <c r="CF34" s="369" t="s">
        <v>1702</v>
      </c>
      <c r="CG34" s="369" t="s">
        <v>1702</v>
      </c>
      <c r="CH34" s="369" t="s">
        <v>1702</v>
      </c>
      <c r="CI34" s="369" t="s">
        <v>117</v>
      </c>
      <c r="CJ34" s="369" t="s">
        <v>1702</v>
      </c>
      <c r="CK34" s="369" t="s">
        <v>1702</v>
      </c>
      <c r="CL34" s="369" t="s">
        <v>117</v>
      </c>
      <c r="CM34" s="2091" t="s">
        <v>92</v>
      </c>
      <c r="CN34" s="2064" t="s">
        <v>92</v>
      </c>
      <c r="CO34" s="2064" t="s">
        <v>92</v>
      </c>
      <c r="CP34" s="2039" t="s">
        <v>91</v>
      </c>
      <c r="CQ34" s="2039" t="s">
        <v>91</v>
      </c>
      <c r="CR34" s="2040" t="s">
        <v>92</v>
      </c>
      <c r="CS34" s="369" t="s">
        <v>91</v>
      </c>
      <c r="CT34" s="369" t="s">
        <v>91</v>
      </c>
      <c r="CU34" s="369" t="s">
        <v>91</v>
      </c>
      <c r="CV34" s="369" t="s">
        <v>92</v>
      </c>
      <c r="CW34" s="369" t="s">
        <v>91</v>
      </c>
      <c r="CX34" s="369" t="s">
        <v>91</v>
      </c>
      <c r="CY34" s="2032" t="s">
        <v>91</v>
      </c>
      <c r="CZ34" s="369" t="s">
        <v>91</v>
      </c>
      <c r="DA34" s="369" t="s">
        <v>117</v>
      </c>
      <c r="DB34" s="369" t="s">
        <v>91</v>
      </c>
      <c r="DC34" s="369" t="s">
        <v>91</v>
      </c>
      <c r="DD34" s="369" t="s">
        <v>91</v>
      </c>
      <c r="DE34" s="369" t="s">
        <v>92</v>
      </c>
      <c r="DF34" s="369" t="s">
        <v>91</v>
      </c>
      <c r="DG34" s="2032" t="s">
        <v>91</v>
      </c>
      <c r="DH34" s="2041" t="s">
        <v>118</v>
      </c>
      <c r="DI34" s="2041" t="s">
        <v>118</v>
      </c>
      <c r="DJ34" s="2041" t="s">
        <v>118</v>
      </c>
      <c r="DK34" s="2041" t="s">
        <v>118</v>
      </c>
      <c r="DL34" s="2093" t="s">
        <v>118</v>
      </c>
      <c r="DM34" s="2041" t="s">
        <v>118</v>
      </c>
      <c r="DN34" s="2041" t="s">
        <v>118</v>
      </c>
      <c r="DO34" s="2041" t="s">
        <v>118</v>
      </c>
      <c r="DP34" s="2093" t="s">
        <v>118</v>
      </c>
      <c r="DQ34" s="2041" t="s">
        <v>118</v>
      </c>
      <c r="DR34" s="2041" t="s">
        <v>118</v>
      </c>
      <c r="DS34" s="2093" t="s">
        <v>118</v>
      </c>
      <c r="DT34" s="2041" t="s">
        <v>118</v>
      </c>
      <c r="DU34" s="2041" t="s">
        <v>118</v>
      </c>
      <c r="DV34" s="2041" t="s">
        <v>118</v>
      </c>
      <c r="DW34" s="2041" t="s">
        <v>118</v>
      </c>
      <c r="DX34" s="2093" t="s">
        <v>118</v>
      </c>
      <c r="DY34" s="2041" t="s">
        <v>118</v>
      </c>
      <c r="DZ34" s="2041" t="s">
        <v>118</v>
      </c>
      <c r="EA34" s="2041" t="s">
        <v>118</v>
      </c>
      <c r="EB34" s="2041" t="s">
        <v>118</v>
      </c>
      <c r="EC34" s="2041" t="s">
        <v>118</v>
      </c>
      <c r="ED34" s="2093" t="s">
        <v>118</v>
      </c>
      <c r="EE34" s="369" t="s">
        <v>118</v>
      </c>
      <c r="EF34" s="369" t="s">
        <v>118</v>
      </c>
      <c r="EG34" s="369" t="s">
        <v>118</v>
      </c>
      <c r="EH34" s="369" t="s">
        <v>118</v>
      </c>
      <c r="EI34" s="369" t="s">
        <v>118</v>
      </c>
    </row>
    <row r="35" ht="18.75" customHeight="1">
      <c r="A35" s="158"/>
      <c r="B35" s="135"/>
      <c r="C35" s="182" t="s">
        <v>113</v>
      </c>
      <c r="D35" s="2041" t="s">
        <v>118</v>
      </c>
      <c r="E35" s="2041" t="s">
        <v>118</v>
      </c>
      <c r="F35" s="2041" t="s">
        <v>118</v>
      </c>
      <c r="G35" s="2041" t="s">
        <v>118</v>
      </c>
      <c r="H35" s="2041" t="s">
        <v>118</v>
      </c>
      <c r="I35" s="2093" t="s">
        <v>118</v>
      </c>
      <c r="J35" s="2041" t="s">
        <v>118</v>
      </c>
      <c r="K35" s="2041" t="s">
        <v>118</v>
      </c>
      <c r="L35" s="2041" t="s">
        <v>118</v>
      </c>
      <c r="M35" s="2041" t="s">
        <v>118</v>
      </c>
      <c r="N35" s="2041" t="s">
        <v>118</v>
      </c>
      <c r="O35" s="2093" t="s">
        <v>118</v>
      </c>
      <c r="P35" s="2041" t="s">
        <v>118</v>
      </c>
      <c r="Q35" s="2041" t="s">
        <v>118</v>
      </c>
      <c r="R35" s="2041" t="s">
        <v>118</v>
      </c>
      <c r="S35" s="2041" t="s">
        <v>118</v>
      </c>
      <c r="T35" s="2041" t="s">
        <v>118</v>
      </c>
      <c r="U35" s="2041" t="s">
        <v>118</v>
      </c>
      <c r="V35" s="2041" t="s">
        <v>118</v>
      </c>
      <c r="W35" s="2093" t="s">
        <v>118</v>
      </c>
      <c r="X35" s="2041" t="s">
        <v>118</v>
      </c>
      <c r="Y35" s="2041" t="s">
        <v>118</v>
      </c>
      <c r="Z35" s="2041" t="s">
        <v>118</v>
      </c>
      <c r="AA35" s="2041" t="s">
        <v>118</v>
      </c>
      <c r="AB35" s="2041" t="s">
        <v>118</v>
      </c>
      <c r="AC35" s="2041" t="s">
        <v>118</v>
      </c>
      <c r="AD35" s="2093" t="s">
        <v>118</v>
      </c>
      <c r="AE35" s="2041" t="s">
        <v>118</v>
      </c>
      <c r="AF35" s="2041" t="s">
        <v>118</v>
      </c>
      <c r="AG35" s="2041" t="s">
        <v>118</v>
      </c>
      <c r="AH35" s="2041" t="s">
        <v>118</v>
      </c>
      <c r="AI35" s="2041" t="s">
        <v>118</v>
      </c>
      <c r="AJ35" s="2041" t="s">
        <v>118</v>
      </c>
      <c r="AK35" s="2041" t="s">
        <v>118</v>
      </c>
      <c r="AL35" s="2041" t="s">
        <v>118</v>
      </c>
      <c r="AM35" s="2093" t="s">
        <v>118</v>
      </c>
      <c r="AN35" s="2041" t="s">
        <v>118</v>
      </c>
      <c r="AO35" s="2041" t="s">
        <v>118</v>
      </c>
      <c r="AP35" s="2041" t="s">
        <v>118</v>
      </c>
      <c r="AQ35" s="2041" t="s">
        <v>118</v>
      </c>
      <c r="AR35" s="2041" t="s">
        <v>118</v>
      </c>
      <c r="AS35" s="2041" t="s">
        <v>118</v>
      </c>
      <c r="AT35" s="2041" t="s">
        <v>118</v>
      </c>
      <c r="AU35" s="2041" t="s">
        <v>118</v>
      </c>
      <c r="AV35" s="2093" t="s">
        <v>118</v>
      </c>
      <c r="AW35" s="2041" t="s">
        <v>118</v>
      </c>
      <c r="AX35" s="2041" t="s">
        <v>118</v>
      </c>
      <c r="AY35" s="2041" t="s">
        <v>118</v>
      </c>
      <c r="AZ35" s="2041" t="s">
        <v>118</v>
      </c>
      <c r="BA35" s="2041" t="s">
        <v>118</v>
      </c>
      <c r="BB35" s="2041" t="s">
        <v>118</v>
      </c>
      <c r="BC35" s="2093" t="s">
        <v>118</v>
      </c>
      <c r="BD35" s="2041" t="s">
        <v>118</v>
      </c>
      <c r="BE35" s="2041" t="s">
        <v>118</v>
      </c>
      <c r="BF35" s="2041" t="s">
        <v>118</v>
      </c>
      <c r="BG35" s="2041" t="s">
        <v>118</v>
      </c>
      <c r="BH35" s="2041" t="s">
        <v>118</v>
      </c>
      <c r="BI35" s="2041" t="s">
        <v>118</v>
      </c>
      <c r="BJ35" s="2041" t="s">
        <v>118</v>
      </c>
      <c r="BK35" s="2041" t="s">
        <v>118</v>
      </c>
      <c r="BL35" s="2041" t="s">
        <v>118</v>
      </c>
      <c r="BM35" s="2041" t="s">
        <v>118</v>
      </c>
      <c r="BN35" s="2041" t="s">
        <v>118</v>
      </c>
      <c r="BO35" s="2041" t="s">
        <v>118</v>
      </c>
      <c r="BP35" s="2041" t="s">
        <v>118</v>
      </c>
      <c r="BQ35" s="2093" t="s">
        <v>118</v>
      </c>
      <c r="BR35" s="2053" t="s">
        <v>118</v>
      </c>
      <c r="BS35" s="2054" t="s">
        <v>118</v>
      </c>
      <c r="BT35" s="2054" t="s">
        <v>118</v>
      </c>
      <c r="BU35" s="2054" t="s">
        <v>118</v>
      </c>
      <c r="BV35" s="2054" t="s">
        <v>118</v>
      </c>
      <c r="BW35" s="2054" t="s">
        <v>118</v>
      </c>
      <c r="BX35" s="2054" t="s">
        <v>118</v>
      </c>
      <c r="BY35" s="2054" t="s">
        <v>118</v>
      </c>
      <c r="BZ35" s="2054" t="s">
        <v>118</v>
      </c>
      <c r="CA35" s="2054" t="s">
        <v>118</v>
      </c>
      <c r="CB35" s="2054" t="s">
        <v>118</v>
      </c>
      <c r="CC35" s="2055" t="s">
        <v>118</v>
      </c>
      <c r="CD35" s="2041" t="s">
        <v>118</v>
      </c>
      <c r="CE35" s="2041" t="s">
        <v>118</v>
      </c>
      <c r="CF35" s="2041" t="s">
        <v>118</v>
      </c>
      <c r="CG35" s="2041" t="s">
        <v>118</v>
      </c>
      <c r="CH35" s="2041" t="s">
        <v>118</v>
      </c>
      <c r="CI35" s="2041" t="s">
        <v>118</v>
      </c>
      <c r="CJ35" s="2041" t="s">
        <v>118</v>
      </c>
      <c r="CK35" s="2041" t="s">
        <v>118</v>
      </c>
      <c r="CL35" s="2041" t="s">
        <v>118</v>
      </c>
      <c r="CM35" s="2053" t="s">
        <v>118</v>
      </c>
      <c r="CN35" s="2054" t="s">
        <v>118</v>
      </c>
      <c r="CO35" s="2054" t="s">
        <v>118</v>
      </c>
      <c r="CP35" s="2054" t="s">
        <v>118</v>
      </c>
      <c r="CQ35" s="2054" t="s">
        <v>118</v>
      </c>
      <c r="CR35" s="2055" t="s">
        <v>118</v>
      </c>
      <c r="CS35" s="2041" t="s">
        <v>118</v>
      </c>
      <c r="CT35" s="2041" t="s">
        <v>118</v>
      </c>
      <c r="CU35" s="2041" t="s">
        <v>118</v>
      </c>
      <c r="CV35" s="2041" t="s">
        <v>118</v>
      </c>
      <c r="CW35" s="2041" t="s">
        <v>118</v>
      </c>
      <c r="CX35" s="2041" t="s">
        <v>118</v>
      </c>
      <c r="CY35" s="2093" t="s">
        <v>118</v>
      </c>
      <c r="CZ35" s="2041" t="s">
        <v>118</v>
      </c>
      <c r="DA35" s="2041" t="s">
        <v>118</v>
      </c>
      <c r="DB35" s="2041" t="s">
        <v>118</v>
      </c>
      <c r="DC35" s="2041" t="s">
        <v>118</v>
      </c>
      <c r="DD35" s="2041" t="s">
        <v>118</v>
      </c>
      <c r="DE35" s="2041" t="s">
        <v>118</v>
      </c>
      <c r="DF35" s="2041" t="s">
        <v>118</v>
      </c>
      <c r="DG35" s="2093" t="s">
        <v>118</v>
      </c>
      <c r="DH35" s="369" t="s">
        <v>91</v>
      </c>
      <c r="DI35" s="2041" t="s">
        <v>91</v>
      </c>
      <c r="DJ35" s="369" t="s">
        <v>91</v>
      </c>
      <c r="DK35" s="2041" t="s">
        <v>91</v>
      </c>
      <c r="DL35" s="2032" t="s">
        <v>92</v>
      </c>
      <c r="DM35" s="369" t="s">
        <v>91</v>
      </c>
      <c r="DN35" s="369" t="s">
        <v>91</v>
      </c>
      <c r="DO35" s="369" t="s">
        <v>91</v>
      </c>
      <c r="DP35" s="2032" t="s">
        <v>91</v>
      </c>
      <c r="DQ35" s="369" t="s">
        <v>91</v>
      </c>
      <c r="DR35" s="369" t="s">
        <v>117</v>
      </c>
      <c r="DS35" s="2032" t="s">
        <v>91</v>
      </c>
      <c r="DT35" s="369" t="s">
        <v>91</v>
      </c>
      <c r="DU35" s="369" t="s">
        <v>91</v>
      </c>
      <c r="DV35" s="369" t="s">
        <v>91</v>
      </c>
      <c r="DW35" s="369" t="s">
        <v>92</v>
      </c>
      <c r="DX35" s="2032" t="s">
        <v>91</v>
      </c>
      <c r="DY35" s="369" t="s">
        <v>92</v>
      </c>
      <c r="DZ35" s="369" t="s">
        <v>91</v>
      </c>
      <c r="EA35" s="369" t="s">
        <v>91</v>
      </c>
      <c r="EB35" s="369" t="s">
        <v>91</v>
      </c>
      <c r="EC35" s="369" t="s">
        <v>91</v>
      </c>
      <c r="ED35" s="2032" t="s">
        <v>91</v>
      </c>
      <c r="EE35" s="369" t="s">
        <v>93</v>
      </c>
      <c r="EF35" s="369" t="s">
        <v>93</v>
      </c>
      <c r="EG35" s="369" t="s">
        <v>93</v>
      </c>
      <c r="EH35" s="369" t="s">
        <v>93</v>
      </c>
      <c r="EI35" s="2032" t="s">
        <v>93</v>
      </c>
    </row>
    <row r="36" ht="18.75" customHeight="1">
      <c r="A36" s="158"/>
      <c r="B36" s="135"/>
      <c r="C36" s="182" t="s">
        <v>114</v>
      </c>
      <c r="D36" s="369" t="s">
        <v>91</v>
      </c>
      <c r="E36" s="369" t="s">
        <v>91</v>
      </c>
      <c r="F36" s="369" t="s">
        <v>91</v>
      </c>
      <c r="G36" s="369" t="s">
        <v>91</v>
      </c>
      <c r="H36" s="369" t="s">
        <v>91</v>
      </c>
      <c r="I36" s="2032" t="s">
        <v>61</v>
      </c>
      <c r="J36" s="369" t="s">
        <v>92</v>
      </c>
      <c r="K36" s="369" t="s">
        <v>92</v>
      </c>
      <c r="L36" s="369" t="s">
        <v>92</v>
      </c>
      <c r="M36" s="369" t="s">
        <v>91</v>
      </c>
      <c r="N36" s="369" t="s">
        <v>92</v>
      </c>
      <c r="O36" s="2032" t="s">
        <v>92</v>
      </c>
      <c r="P36" s="369" t="s">
        <v>92</v>
      </c>
      <c r="Q36" s="369" t="s">
        <v>91</v>
      </c>
      <c r="R36" s="369" t="s">
        <v>92</v>
      </c>
      <c r="S36" s="369" t="s">
        <v>92</v>
      </c>
      <c r="T36" s="369" t="s">
        <v>92</v>
      </c>
      <c r="U36" s="369" t="s">
        <v>91</v>
      </c>
      <c r="V36" s="369" t="s">
        <v>92</v>
      </c>
      <c r="W36" s="2032" t="s">
        <v>92</v>
      </c>
      <c r="X36" s="369" t="s">
        <v>92</v>
      </c>
      <c r="Y36" s="369" t="s">
        <v>92</v>
      </c>
      <c r="Z36" s="369" t="s">
        <v>92</v>
      </c>
      <c r="AA36" s="369" t="s">
        <v>91</v>
      </c>
      <c r="AB36" s="369" t="s">
        <v>91</v>
      </c>
      <c r="AC36" s="369" t="s">
        <v>92</v>
      </c>
      <c r="AD36" s="2032" t="s">
        <v>91</v>
      </c>
      <c r="AE36" s="369" t="s">
        <v>92</v>
      </c>
      <c r="AF36" s="369" t="s">
        <v>92</v>
      </c>
      <c r="AG36" s="369" t="s">
        <v>91</v>
      </c>
      <c r="AH36" s="369" t="s">
        <v>92</v>
      </c>
      <c r="AI36" s="369" t="s">
        <v>91</v>
      </c>
      <c r="AJ36" s="369" t="s">
        <v>91</v>
      </c>
      <c r="AK36" s="369" t="s">
        <v>92</v>
      </c>
      <c r="AL36" s="369" t="s">
        <v>91</v>
      </c>
      <c r="AM36" s="2032" t="s">
        <v>91</v>
      </c>
      <c r="AN36" s="369" t="s">
        <v>93</v>
      </c>
      <c r="AO36" s="369" t="s">
        <v>93</v>
      </c>
      <c r="AP36" s="2047" t="s">
        <v>93</v>
      </c>
      <c r="AQ36" s="2047" t="s">
        <v>93</v>
      </c>
      <c r="AR36" s="2047" t="s">
        <v>93</v>
      </c>
      <c r="AS36" s="2047" t="s">
        <v>93</v>
      </c>
      <c r="AT36" s="2047" t="s">
        <v>93</v>
      </c>
      <c r="AU36" s="2047" t="s">
        <v>93</v>
      </c>
      <c r="AV36" s="2048" t="s">
        <v>93</v>
      </c>
      <c r="AW36" s="2033" t="s">
        <v>1703</v>
      </c>
      <c r="AX36" s="369" t="s">
        <v>1702</v>
      </c>
      <c r="AY36" s="369" t="s">
        <v>1702</v>
      </c>
      <c r="AZ36" s="369" t="s">
        <v>1703</v>
      </c>
      <c r="BA36" s="369" t="s">
        <v>1702</v>
      </c>
      <c r="BB36" s="369" t="s">
        <v>1703</v>
      </c>
      <c r="BC36" s="2032" t="s">
        <v>1703</v>
      </c>
      <c r="BD36" s="2033" t="s">
        <v>93</v>
      </c>
      <c r="BE36" s="2033" t="s">
        <v>93</v>
      </c>
      <c r="BF36" s="2033" t="s">
        <v>93</v>
      </c>
      <c r="BG36" s="2033" t="s">
        <v>93</v>
      </c>
      <c r="BH36" s="2033" t="s">
        <v>93</v>
      </c>
      <c r="BI36" s="2033" t="s">
        <v>93</v>
      </c>
      <c r="BJ36" s="2033" t="s">
        <v>93</v>
      </c>
      <c r="BK36" s="369" t="s">
        <v>93</v>
      </c>
      <c r="BL36" s="369" t="s">
        <v>93</v>
      </c>
      <c r="BM36" s="2033" t="s">
        <v>93</v>
      </c>
      <c r="BN36" s="2033" t="s">
        <v>93</v>
      </c>
      <c r="BO36" s="369" t="s">
        <v>93</v>
      </c>
      <c r="BP36" s="2033" t="s">
        <v>93</v>
      </c>
      <c r="BQ36" s="2032" t="s">
        <v>93</v>
      </c>
      <c r="BR36" s="2069" t="s">
        <v>91</v>
      </c>
      <c r="BS36" s="2090" t="s">
        <v>92</v>
      </c>
      <c r="BT36" s="2090" t="s">
        <v>91</v>
      </c>
      <c r="BU36" s="2090" t="s">
        <v>92</v>
      </c>
      <c r="BV36" s="2090" t="s">
        <v>91</v>
      </c>
      <c r="BW36" s="2090" t="s">
        <v>91</v>
      </c>
      <c r="BX36" s="2090" t="s">
        <v>91</v>
      </c>
      <c r="BY36" s="2090" t="s">
        <v>91</v>
      </c>
      <c r="BZ36" s="2090" t="s">
        <v>91</v>
      </c>
      <c r="CA36" s="2090" t="s">
        <v>91</v>
      </c>
      <c r="CB36" s="2090" t="s">
        <v>91</v>
      </c>
      <c r="CC36" s="2094" t="s">
        <v>91</v>
      </c>
      <c r="CD36" s="369" t="s">
        <v>93</v>
      </c>
      <c r="CE36" s="369" t="s">
        <v>93</v>
      </c>
      <c r="CF36" s="369" t="s">
        <v>93</v>
      </c>
      <c r="CG36" s="369" t="s">
        <v>93</v>
      </c>
      <c r="CH36" s="369" t="s">
        <v>93</v>
      </c>
      <c r="CI36" s="369" t="s">
        <v>93</v>
      </c>
      <c r="CJ36" s="369" t="s">
        <v>93</v>
      </c>
      <c r="CK36" s="369" t="s">
        <v>93</v>
      </c>
      <c r="CL36" s="369" t="s">
        <v>93</v>
      </c>
      <c r="CM36" s="2091" t="s">
        <v>92</v>
      </c>
      <c r="CN36" s="2064" t="s">
        <v>92</v>
      </c>
      <c r="CO36" s="2064" t="s">
        <v>92</v>
      </c>
      <c r="CP36" s="2039" t="s">
        <v>91</v>
      </c>
      <c r="CQ36" s="2039" t="s">
        <v>91</v>
      </c>
      <c r="CR36" s="2040" t="s">
        <v>92</v>
      </c>
      <c r="CS36" s="369" t="s">
        <v>91</v>
      </c>
      <c r="CT36" s="369" t="s">
        <v>91</v>
      </c>
      <c r="CU36" s="369" t="s">
        <v>91</v>
      </c>
      <c r="CV36" s="369" t="s">
        <v>117</v>
      </c>
      <c r="CW36" s="369" t="s">
        <v>91</v>
      </c>
      <c r="CX36" s="369" t="s">
        <v>91</v>
      </c>
      <c r="CY36" s="2032" t="s">
        <v>91</v>
      </c>
      <c r="CZ36" s="369" t="s">
        <v>93</v>
      </c>
      <c r="DA36" s="369" t="s">
        <v>93</v>
      </c>
      <c r="DB36" s="369" t="s">
        <v>93</v>
      </c>
      <c r="DC36" s="369" t="s">
        <v>93</v>
      </c>
      <c r="DD36" s="369" t="s">
        <v>93</v>
      </c>
      <c r="DE36" s="369" t="s">
        <v>93</v>
      </c>
      <c r="DF36" s="369" t="s">
        <v>93</v>
      </c>
      <c r="DG36" s="2032" t="s">
        <v>93</v>
      </c>
      <c r="DH36" s="369" t="s">
        <v>91</v>
      </c>
      <c r="DI36" s="2041" t="s">
        <v>91</v>
      </c>
      <c r="DJ36" s="369" t="s">
        <v>91</v>
      </c>
      <c r="DK36" s="2041" t="s">
        <v>91</v>
      </c>
      <c r="DL36" s="2032" t="s">
        <v>92</v>
      </c>
      <c r="DM36" s="369" t="s">
        <v>91</v>
      </c>
      <c r="DN36" s="369" t="s">
        <v>91</v>
      </c>
      <c r="DO36" s="369" t="s">
        <v>91</v>
      </c>
      <c r="DP36" s="2032" t="s">
        <v>91</v>
      </c>
      <c r="DQ36" s="369" t="s">
        <v>93</v>
      </c>
      <c r="DR36" s="369" t="s">
        <v>93</v>
      </c>
      <c r="DS36" s="2032" t="s">
        <v>93</v>
      </c>
      <c r="DT36" s="369" t="s">
        <v>91</v>
      </c>
      <c r="DU36" s="369" t="s">
        <v>91</v>
      </c>
      <c r="DV36" s="369" t="s">
        <v>91</v>
      </c>
      <c r="DW36" s="369" t="s">
        <v>92</v>
      </c>
      <c r="DX36" s="2032" t="s">
        <v>91</v>
      </c>
      <c r="DY36" s="369" t="s">
        <v>91</v>
      </c>
      <c r="DZ36" s="369" t="s">
        <v>91</v>
      </c>
      <c r="EA36" s="369" t="s">
        <v>91</v>
      </c>
      <c r="EB36" s="369" t="s">
        <v>91</v>
      </c>
      <c r="EC36" s="369" t="s">
        <v>91</v>
      </c>
      <c r="ED36" s="2032" t="s">
        <v>91</v>
      </c>
      <c r="EE36" s="369" t="s">
        <v>93</v>
      </c>
      <c r="EF36" s="369" t="s">
        <v>93</v>
      </c>
      <c r="EG36" s="369" t="s">
        <v>93</v>
      </c>
      <c r="EH36" s="369" t="s">
        <v>93</v>
      </c>
      <c r="EI36" s="2032" t="s">
        <v>93</v>
      </c>
    </row>
    <row r="37" ht="18.75" customHeight="1">
      <c r="A37" s="158"/>
      <c r="B37" s="160" t="s">
        <v>36</v>
      </c>
      <c r="C37" s="161" t="s">
        <v>100</v>
      </c>
      <c r="D37" s="369" t="s">
        <v>91</v>
      </c>
      <c r="E37" s="369" t="s">
        <v>92</v>
      </c>
      <c r="F37" s="369" t="s">
        <v>91</v>
      </c>
      <c r="G37" s="369" t="s">
        <v>91</v>
      </c>
      <c r="H37" s="369" t="s">
        <v>91</v>
      </c>
      <c r="I37" s="2032" t="s">
        <v>61</v>
      </c>
      <c r="J37" s="369" t="s">
        <v>92</v>
      </c>
      <c r="K37" s="369" t="s">
        <v>91</v>
      </c>
      <c r="L37" s="369" t="s">
        <v>92</v>
      </c>
      <c r="M37" s="369" t="s">
        <v>92</v>
      </c>
      <c r="N37" s="369" t="s">
        <v>91</v>
      </c>
      <c r="O37" s="2032" t="s">
        <v>91</v>
      </c>
      <c r="P37" s="369" t="s">
        <v>92</v>
      </c>
      <c r="Q37" s="369" t="s">
        <v>91</v>
      </c>
      <c r="R37" s="369" t="s">
        <v>91</v>
      </c>
      <c r="S37" s="369" t="s">
        <v>91</v>
      </c>
      <c r="T37" s="369" t="s">
        <v>91</v>
      </c>
      <c r="U37" s="369" t="s">
        <v>91</v>
      </c>
      <c r="V37" s="369" t="s">
        <v>92</v>
      </c>
      <c r="W37" s="2032" t="s">
        <v>91</v>
      </c>
      <c r="X37" s="369" t="s">
        <v>92</v>
      </c>
      <c r="Y37" s="369" t="s">
        <v>92</v>
      </c>
      <c r="Z37" s="369" t="s">
        <v>91</v>
      </c>
      <c r="AA37" s="369" t="s">
        <v>91</v>
      </c>
      <c r="AB37" s="369" t="s">
        <v>91</v>
      </c>
      <c r="AC37" s="369" t="s">
        <v>91</v>
      </c>
      <c r="AD37" s="2032" t="s">
        <v>91</v>
      </c>
      <c r="AE37" s="369" t="s">
        <v>91</v>
      </c>
      <c r="AF37" s="369" t="s">
        <v>92</v>
      </c>
      <c r="AG37" s="369" t="s">
        <v>91</v>
      </c>
      <c r="AH37" s="369" t="s">
        <v>91</v>
      </c>
      <c r="AI37" s="369" t="s">
        <v>91</v>
      </c>
      <c r="AJ37" s="369" t="s">
        <v>92</v>
      </c>
      <c r="AK37" s="369" t="s">
        <v>91</v>
      </c>
      <c r="AL37" s="369" t="s">
        <v>91</v>
      </c>
      <c r="AM37" s="2032" t="s">
        <v>91</v>
      </c>
      <c r="AN37" s="369" t="s">
        <v>93</v>
      </c>
      <c r="AO37" s="369" t="s">
        <v>93</v>
      </c>
      <c r="AP37" s="2047" t="s">
        <v>93</v>
      </c>
      <c r="AQ37" s="2047" t="s">
        <v>93</v>
      </c>
      <c r="AR37" s="2047" t="s">
        <v>93</v>
      </c>
      <c r="AS37" s="2047" t="s">
        <v>93</v>
      </c>
      <c r="AT37" s="2047" t="s">
        <v>93</v>
      </c>
      <c r="AU37" s="2047" t="s">
        <v>93</v>
      </c>
      <c r="AV37" s="2048" t="s">
        <v>93</v>
      </c>
      <c r="AW37" s="2047" t="s">
        <v>93</v>
      </c>
      <c r="AX37" s="369" t="s">
        <v>1702</v>
      </c>
      <c r="AY37" s="369" t="s">
        <v>1703</v>
      </c>
      <c r="AZ37" s="369" t="s">
        <v>1702</v>
      </c>
      <c r="BA37" s="369" t="s">
        <v>1702</v>
      </c>
      <c r="BB37" s="369" t="s">
        <v>1702</v>
      </c>
      <c r="BC37" s="2032" t="s">
        <v>1702</v>
      </c>
      <c r="BD37" s="2033" t="s">
        <v>91</v>
      </c>
      <c r="BE37" s="2033" t="s">
        <v>91</v>
      </c>
      <c r="BF37" s="2033" t="s">
        <v>91</v>
      </c>
      <c r="BG37" s="2033" t="s">
        <v>92</v>
      </c>
      <c r="BH37" s="2033" t="s">
        <v>92</v>
      </c>
      <c r="BI37" s="2033" t="s">
        <v>92</v>
      </c>
      <c r="BJ37" s="2033" t="s">
        <v>91</v>
      </c>
      <c r="BK37" s="369" t="s">
        <v>92</v>
      </c>
      <c r="BL37" s="2033" t="s">
        <v>91</v>
      </c>
      <c r="BM37" s="2033" t="s">
        <v>91</v>
      </c>
      <c r="BN37" s="2033" t="s">
        <v>91</v>
      </c>
      <c r="BO37" s="2033" t="s">
        <v>91</v>
      </c>
      <c r="BP37" s="2033" t="s">
        <v>91</v>
      </c>
      <c r="BQ37" s="2034" t="s">
        <v>91</v>
      </c>
      <c r="BR37" s="2035" t="s">
        <v>93</v>
      </c>
      <c r="BS37" s="2036" t="s">
        <v>93</v>
      </c>
      <c r="BT37" s="2036" t="s">
        <v>93</v>
      </c>
      <c r="BU37" s="2036" t="s">
        <v>93</v>
      </c>
      <c r="BV37" s="2036" t="s">
        <v>93</v>
      </c>
      <c r="BW37" s="2036" t="s">
        <v>93</v>
      </c>
      <c r="BX37" s="2036" t="s">
        <v>93</v>
      </c>
      <c r="BY37" s="2036" t="s">
        <v>93</v>
      </c>
      <c r="BZ37" s="2036" t="s">
        <v>93</v>
      </c>
      <c r="CA37" s="2036" t="s">
        <v>93</v>
      </c>
      <c r="CB37" s="2036" t="s">
        <v>93</v>
      </c>
      <c r="CC37" s="2037" t="s">
        <v>93</v>
      </c>
      <c r="CD37" s="369" t="s">
        <v>1703</v>
      </c>
      <c r="CE37" s="369" t="s">
        <v>1703</v>
      </c>
      <c r="CF37" s="369" t="s">
        <v>1703</v>
      </c>
      <c r="CG37" s="369" t="s">
        <v>1703</v>
      </c>
      <c r="CH37" s="369" t="s">
        <v>1703</v>
      </c>
      <c r="CI37" s="2033" t="s">
        <v>1702</v>
      </c>
      <c r="CJ37" s="2033" t="s">
        <v>1702</v>
      </c>
      <c r="CK37" s="369" t="s">
        <v>1703</v>
      </c>
      <c r="CL37" s="369" t="s">
        <v>1703</v>
      </c>
      <c r="CM37" s="2035" t="s">
        <v>93</v>
      </c>
      <c r="CN37" s="2036" t="s">
        <v>93</v>
      </c>
      <c r="CO37" s="2036" t="s">
        <v>93</v>
      </c>
      <c r="CP37" s="2036" t="s">
        <v>93</v>
      </c>
      <c r="CQ37" s="2036" t="s">
        <v>93</v>
      </c>
      <c r="CR37" s="2037" t="s">
        <v>93</v>
      </c>
      <c r="CS37" s="369" t="s">
        <v>93</v>
      </c>
      <c r="CT37" s="369" t="s">
        <v>93</v>
      </c>
      <c r="CU37" s="369" t="s">
        <v>93</v>
      </c>
      <c r="CV37" s="369" t="s">
        <v>93</v>
      </c>
      <c r="CW37" s="369" t="s">
        <v>93</v>
      </c>
      <c r="CX37" s="369" t="s">
        <v>93</v>
      </c>
      <c r="CY37" s="2032" t="s">
        <v>93</v>
      </c>
      <c r="CZ37" s="369" t="s">
        <v>91</v>
      </c>
      <c r="DA37" s="369" t="s">
        <v>91</v>
      </c>
      <c r="DB37" s="369" t="s">
        <v>91</v>
      </c>
      <c r="DC37" s="369" t="s">
        <v>92</v>
      </c>
      <c r="DD37" s="369" t="s">
        <v>91</v>
      </c>
      <c r="DE37" s="369" t="s">
        <v>91</v>
      </c>
      <c r="DF37" s="369" t="s">
        <v>91</v>
      </c>
      <c r="DG37" s="2032" t="s">
        <v>91</v>
      </c>
      <c r="DH37" s="369" t="s">
        <v>91</v>
      </c>
      <c r="DI37" s="2041" t="s">
        <v>91</v>
      </c>
      <c r="DJ37" s="369" t="s">
        <v>91</v>
      </c>
      <c r="DK37" s="369" t="s">
        <v>91</v>
      </c>
      <c r="DL37" s="2032" t="s">
        <v>91</v>
      </c>
      <c r="DM37" s="369" t="s">
        <v>93</v>
      </c>
      <c r="DN37" s="369" t="s">
        <v>93</v>
      </c>
      <c r="DO37" s="369" t="s">
        <v>93</v>
      </c>
      <c r="DP37" s="2032" t="s">
        <v>93</v>
      </c>
      <c r="DQ37" s="369" t="s">
        <v>93</v>
      </c>
      <c r="DR37" s="369" t="s">
        <v>93</v>
      </c>
      <c r="DS37" s="2032" t="s">
        <v>93</v>
      </c>
      <c r="DT37" s="369" t="s">
        <v>91</v>
      </c>
      <c r="DU37" s="369" t="s">
        <v>91</v>
      </c>
      <c r="DV37" s="369" t="s">
        <v>91</v>
      </c>
      <c r="DW37" s="369" t="s">
        <v>91</v>
      </c>
      <c r="DX37" s="2032" t="s">
        <v>91</v>
      </c>
      <c r="DY37" s="369" t="s">
        <v>92</v>
      </c>
      <c r="DZ37" s="369" t="s">
        <v>91</v>
      </c>
      <c r="EA37" s="369" t="s">
        <v>91</v>
      </c>
      <c r="EB37" s="369" t="s">
        <v>91</v>
      </c>
      <c r="EC37" s="369" t="s">
        <v>91</v>
      </c>
      <c r="ED37" s="2032" t="s">
        <v>91</v>
      </c>
      <c r="EE37" s="2042" t="s">
        <v>91</v>
      </c>
      <c r="EF37" s="2043" t="s">
        <v>92</v>
      </c>
      <c r="EG37" s="2044" t="s">
        <v>91</v>
      </c>
      <c r="EH37" s="2044" t="s">
        <v>91</v>
      </c>
      <c r="EI37" s="2045" t="s">
        <v>91</v>
      </c>
    </row>
    <row r="38" ht="18.75" customHeight="1">
      <c r="A38" s="158"/>
      <c r="B38" s="135"/>
      <c r="C38" s="162" t="s">
        <v>37</v>
      </c>
      <c r="D38" s="369" t="s">
        <v>91</v>
      </c>
      <c r="E38" s="369" t="s">
        <v>92</v>
      </c>
      <c r="F38" s="369" t="s">
        <v>91</v>
      </c>
      <c r="G38" s="369" t="s">
        <v>91</v>
      </c>
      <c r="H38" s="369" t="s">
        <v>92</v>
      </c>
      <c r="I38" s="2032" t="s">
        <v>61</v>
      </c>
      <c r="J38" s="369" t="s">
        <v>92</v>
      </c>
      <c r="K38" s="369" t="s">
        <v>91</v>
      </c>
      <c r="L38" s="369" t="s">
        <v>92</v>
      </c>
      <c r="M38" s="369" t="s">
        <v>92</v>
      </c>
      <c r="N38" s="369" t="s">
        <v>91</v>
      </c>
      <c r="O38" s="2032" t="s">
        <v>91</v>
      </c>
      <c r="P38" s="369" t="s">
        <v>92</v>
      </c>
      <c r="Q38" s="369" t="s">
        <v>92</v>
      </c>
      <c r="R38" s="369" t="s">
        <v>92</v>
      </c>
      <c r="S38" s="369" t="s">
        <v>92</v>
      </c>
      <c r="T38" s="369" t="s">
        <v>91</v>
      </c>
      <c r="U38" s="369" t="s">
        <v>91</v>
      </c>
      <c r="V38" s="369" t="s">
        <v>92</v>
      </c>
      <c r="W38" s="2032" t="s">
        <v>91</v>
      </c>
      <c r="X38" s="369" t="s">
        <v>92</v>
      </c>
      <c r="Y38" s="369" t="s">
        <v>92</v>
      </c>
      <c r="Z38" s="369" t="s">
        <v>91</v>
      </c>
      <c r="AA38" s="369" t="s">
        <v>91</v>
      </c>
      <c r="AB38" s="369" t="s">
        <v>91</v>
      </c>
      <c r="AC38" s="369" t="s">
        <v>91</v>
      </c>
      <c r="AD38" s="2032" t="s">
        <v>91</v>
      </c>
      <c r="AE38" s="369" t="s">
        <v>91</v>
      </c>
      <c r="AF38" s="369" t="s">
        <v>92</v>
      </c>
      <c r="AG38" s="369" t="s">
        <v>91</v>
      </c>
      <c r="AH38" s="369" t="s">
        <v>91</v>
      </c>
      <c r="AI38" s="369" t="s">
        <v>91</v>
      </c>
      <c r="AJ38" s="369" t="s">
        <v>92</v>
      </c>
      <c r="AK38" s="369" t="s">
        <v>91</v>
      </c>
      <c r="AL38" s="369" t="s">
        <v>91</v>
      </c>
      <c r="AM38" s="2032" t="s">
        <v>91</v>
      </c>
      <c r="AN38" s="369" t="s">
        <v>1703</v>
      </c>
      <c r="AO38" s="369" t="s">
        <v>1702</v>
      </c>
      <c r="AP38" s="2033" t="s">
        <v>1702</v>
      </c>
      <c r="AQ38" s="2033" t="s">
        <v>1702</v>
      </c>
      <c r="AR38" s="2033" t="s">
        <v>1702</v>
      </c>
      <c r="AS38" s="2033" t="s">
        <v>1702</v>
      </c>
      <c r="AT38" s="2033" t="s">
        <v>1702</v>
      </c>
      <c r="AU38" s="2033" t="s">
        <v>1703</v>
      </c>
      <c r="AV38" s="2034" t="s">
        <v>1703</v>
      </c>
      <c r="AW38" s="2033" t="s">
        <v>1702</v>
      </c>
      <c r="AX38" s="369" t="s">
        <v>1702</v>
      </c>
      <c r="AY38" s="369" t="s">
        <v>1703</v>
      </c>
      <c r="AZ38" s="369" t="s">
        <v>1702</v>
      </c>
      <c r="BA38" s="369" t="s">
        <v>1702</v>
      </c>
      <c r="BB38" s="369" t="s">
        <v>1702</v>
      </c>
      <c r="BC38" s="2032" t="s">
        <v>1702</v>
      </c>
      <c r="BD38" s="2033" t="s">
        <v>91</v>
      </c>
      <c r="BE38" s="2033" t="s">
        <v>91</v>
      </c>
      <c r="BF38" s="2033" t="s">
        <v>91</v>
      </c>
      <c r="BG38" s="2033" t="s">
        <v>92</v>
      </c>
      <c r="BH38" s="2033" t="s">
        <v>92</v>
      </c>
      <c r="BI38" s="2033" t="s">
        <v>92</v>
      </c>
      <c r="BJ38" s="2033" t="s">
        <v>91</v>
      </c>
      <c r="BK38" s="369" t="s">
        <v>92</v>
      </c>
      <c r="BL38" s="2033" t="s">
        <v>91</v>
      </c>
      <c r="BM38" s="2033" t="s">
        <v>91</v>
      </c>
      <c r="BN38" s="2033" t="s">
        <v>91</v>
      </c>
      <c r="BO38" s="2033" t="s">
        <v>91</v>
      </c>
      <c r="BP38" s="2033" t="s">
        <v>91</v>
      </c>
      <c r="BQ38" s="2034" t="s">
        <v>91</v>
      </c>
      <c r="BR38" s="2038" t="s">
        <v>91</v>
      </c>
      <c r="BS38" s="2064" t="s">
        <v>92</v>
      </c>
      <c r="BT38" s="2039" t="s">
        <v>91</v>
      </c>
      <c r="BU38" s="2064" t="s">
        <v>92</v>
      </c>
      <c r="BV38" s="2064" t="s">
        <v>92</v>
      </c>
      <c r="BW38" s="2064" t="s">
        <v>92</v>
      </c>
      <c r="BX38" s="2039" t="s">
        <v>91</v>
      </c>
      <c r="BY38" s="2064" t="s">
        <v>92</v>
      </c>
      <c r="BZ38" s="2064" t="s">
        <v>92</v>
      </c>
      <c r="CA38" s="2039" t="s">
        <v>91</v>
      </c>
      <c r="CB38" s="2039" t="s">
        <v>91</v>
      </c>
      <c r="CC38" s="2040" t="s">
        <v>92</v>
      </c>
      <c r="CD38" s="369" t="s">
        <v>1703</v>
      </c>
      <c r="CE38" s="369" t="s">
        <v>1703</v>
      </c>
      <c r="CF38" s="369" t="s">
        <v>1703</v>
      </c>
      <c r="CG38" s="369" t="s">
        <v>1703</v>
      </c>
      <c r="CH38" s="369" t="s">
        <v>1703</v>
      </c>
      <c r="CI38" s="2033" t="s">
        <v>1702</v>
      </c>
      <c r="CJ38" s="2033" t="s">
        <v>1702</v>
      </c>
      <c r="CK38" s="369" t="s">
        <v>1703</v>
      </c>
      <c r="CL38" s="369" t="s">
        <v>1703</v>
      </c>
      <c r="CM38" s="2038" t="s">
        <v>91</v>
      </c>
      <c r="CN38" s="2039" t="s">
        <v>91</v>
      </c>
      <c r="CO38" s="2039" t="s">
        <v>91</v>
      </c>
      <c r="CP38" s="2064" t="s">
        <v>92</v>
      </c>
      <c r="CQ38" s="2039" t="s">
        <v>91</v>
      </c>
      <c r="CR38" s="2062" t="s">
        <v>91</v>
      </c>
      <c r="CS38" s="369" t="s">
        <v>91</v>
      </c>
      <c r="CT38" s="369" t="s">
        <v>91</v>
      </c>
      <c r="CU38" s="369" t="s">
        <v>91</v>
      </c>
      <c r="CV38" s="369" t="s">
        <v>91</v>
      </c>
      <c r="CW38" s="369" t="s">
        <v>91</v>
      </c>
      <c r="CX38" s="369" t="s">
        <v>92</v>
      </c>
      <c r="CY38" s="2032" t="s">
        <v>92</v>
      </c>
      <c r="CZ38" s="369" t="s">
        <v>91</v>
      </c>
      <c r="DA38" s="369" t="s">
        <v>91</v>
      </c>
      <c r="DB38" s="369" t="s">
        <v>91</v>
      </c>
      <c r="DC38" s="369" t="s">
        <v>92</v>
      </c>
      <c r="DD38" s="369" t="s">
        <v>91</v>
      </c>
      <c r="DE38" s="2041" t="s">
        <v>91</v>
      </c>
      <c r="DF38" s="369" t="s">
        <v>91</v>
      </c>
      <c r="DG38" s="2032" t="s">
        <v>91</v>
      </c>
      <c r="DH38" s="369" t="s">
        <v>91</v>
      </c>
      <c r="DI38" s="2041" t="s">
        <v>91</v>
      </c>
      <c r="DJ38" s="369" t="s">
        <v>91</v>
      </c>
      <c r="DK38" s="369" t="s">
        <v>91</v>
      </c>
      <c r="DL38" s="2032" t="s">
        <v>91</v>
      </c>
      <c r="DM38" s="369" t="s">
        <v>91</v>
      </c>
      <c r="DN38" s="369" t="s">
        <v>91</v>
      </c>
      <c r="DO38" s="369" t="s">
        <v>91</v>
      </c>
      <c r="DP38" s="2032" t="s">
        <v>91</v>
      </c>
      <c r="DQ38" s="369" t="s">
        <v>92</v>
      </c>
      <c r="DR38" s="369" t="s">
        <v>91</v>
      </c>
      <c r="DS38" s="2032" t="s">
        <v>91</v>
      </c>
      <c r="DT38" s="369" t="s">
        <v>91</v>
      </c>
      <c r="DU38" s="369" t="s">
        <v>91</v>
      </c>
      <c r="DV38" s="369" t="s">
        <v>91</v>
      </c>
      <c r="DW38" s="369" t="s">
        <v>91</v>
      </c>
      <c r="DX38" s="2032" t="s">
        <v>91</v>
      </c>
      <c r="DY38" s="369" t="s">
        <v>92</v>
      </c>
      <c r="DZ38" s="369" t="s">
        <v>91</v>
      </c>
      <c r="EA38" s="369" t="s">
        <v>91</v>
      </c>
      <c r="EB38" s="369" t="s">
        <v>91</v>
      </c>
      <c r="EC38" s="369" t="s">
        <v>91</v>
      </c>
      <c r="ED38" s="2032" t="s">
        <v>91</v>
      </c>
      <c r="EE38" s="2042" t="s">
        <v>91</v>
      </c>
      <c r="EF38" s="2043" t="s">
        <v>92</v>
      </c>
      <c r="EG38" s="2044" t="s">
        <v>91</v>
      </c>
      <c r="EH38" s="2044" t="s">
        <v>91</v>
      </c>
      <c r="EI38" s="2045" t="s">
        <v>91</v>
      </c>
    </row>
    <row r="39" ht="18.75" customHeight="1">
      <c r="A39" s="158"/>
      <c r="B39" s="135"/>
      <c r="C39" s="2095" t="s">
        <v>252</v>
      </c>
      <c r="D39" s="369" t="s">
        <v>91</v>
      </c>
      <c r="E39" s="369" t="s">
        <v>92</v>
      </c>
      <c r="F39" s="369" t="s">
        <v>91</v>
      </c>
      <c r="G39" s="369" t="s">
        <v>91</v>
      </c>
      <c r="H39" s="369" t="s">
        <v>91</v>
      </c>
      <c r="I39" s="2032" t="s">
        <v>61</v>
      </c>
      <c r="J39" s="369" t="s">
        <v>91</v>
      </c>
      <c r="K39" s="369" t="s">
        <v>91</v>
      </c>
      <c r="L39" s="369" t="s">
        <v>91</v>
      </c>
      <c r="M39" s="369" t="s">
        <v>91</v>
      </c>
      <c r="N39" s="369" t="s">
        <v>92</v>
      </c>
      <c r="O39" s="2032" t="s">
        <v>91</v>
      </c>
      <c r="P39" s="369" t="s">
        <v>92</v>
      </c>
      <c r="Q39" s="369" t="s">
        <v>91</v>
      </c>
      <c r="R39" s="369" t="s">
        <v>91</v>
      </c>
      <c r="S39" s="369" t="s">
        <v>91</v>
      </c>
      <c r="T39" s="369" t="s">
        <v>91</v>
      </c>
      <c r="U39" s="369" t="s">
        <v>91</v>
      </c>
      <c r="V39" s="369" t="s">
        <v>92</v>
      </c>
      <c r="W39" s="2032" t="s">
        <v>91</v>
      </c>
      <c r="X39" s="369" t="s">
        <v>92</v>
      </c>
      <c r="Y39" s="369" t="s">
        <v>92</v>
      </c>
      <c r="Z39" s="369" t="s">
        <v>91</v>
      </c>
      <c r="AA39" s="369" t="s">
        <v>91</v>
      </c>
      <c r="AB39" s="369" t="s">
        <v>91</v>
      </c>
      <c r="AC39" s="369" t="s">
        <v>91</v>
      </c>
      <c r="AD39" s="2032" t="s">
        <v>91</v>
      </c>
      <c r="AE39" s="369" t="s">
        <v>91</v>
      </c>
      <c r="AF39" s="369" t="s">
        <v>91</v>
      </c>
      <c r="AG39" s="369" t="s">
        <v>91</v>
      </c>
      <c r="AH39" s="369" t="s">
        <v>91</v>
      </c>
      <c r="AI39" s="369" t="s">
        <v>91</v>
      </c>
      <c r="AJ39" s="369" t="s">
        <v>92</v>
      </c>
      <c r="AK39" s="369" t="s">
        <v>91</v>
      </c>
      <c r="AL39" s="369" t="s">
        <v>91</v>
      </c>
      <c r="AM39" s="2032" t="s">
        <v>91</v>
      </c>
      <c r="AN39" s="369" t="s">
        <v>93</v>
      </c>
      <c r="AO39" s="369" t="s">
        <v>93</v>
      </c>
      <c r="AP39" s="2047" t="s">
        <v>93</v>
      </c>
      <c r="AQ39" s="2047" t="s">
        <v>93</v>
      </c>
      <c r="AR39" s="2047" t="s">
        <v>93</v>
      </c>
      <c r="AS39" s="2047" t="s">
        <v>93</v>
      </c>
      <c r="AT39" s="2047" t="s">
        <v>93</v>
      </c>
      <c r="AU39" s="2047" t="s">
        <v>93</v>
      </c>
      <c r="AV39" s="2048" t="s">
        <v>93</v>
      </c>
      <c r="AW39" s="2047" t="s">
        <v>93</v>
      </c>
      <c r="AX39" s="369" t="s">
        <v>1702</v>
      </c>
      <c r="AY39" s="369" t="s">
        <v>1703</v>
      </c>
      <c r="AZ39" s="369" t="s">
        <v>1702</v>
      </c>
      <c r="BA39" s="369" t="s">
        <v>1702</v>
      </c>
      <c r="BB39" s="369" t="s">
        <v>1702</v>
      </c>
      <c r="BC39" s="2032" t="s">
        <v>1702</v>
      </c>
      <c r="BD39" s="2047" t="s">
        <v>93</v>
      </c>
      <c r="BE39" s="2047" t="s">
        <v>93</v>
      </c>
      <c r="BF39" s="2047" t="s">
        <v>93</v>
      </c>
      <c r="BG39" s="2047" t="s">
        <v>93</v>
      </c>
      <c r="BH39" s="2047" t="s">
        <v>93</v>
      </c>
      <c r="BI39" s="2047" t="s">
        <v>93</v>
      </c>
      <c r="BJ39" s="2047" t="s">
        <v>93</v>
      </c>
      <c r="BK39" s="369" t="s">
        <v>93</v>
      </c>
      <c r="BL39" s="369" t="s">
        <v>93</v>
      </c>
      <c r="BM39" s="369" t="s">
        <v>93</v>
      </c>
      <c r="BN39" s="369" t="s">
        <v>93</v>
      </c>
      <c r="BO39" s="369" t="s">
        <v>93</v>
      </c>
      <c r="BP39" s="369" t="s">
        <v>93</v>
      </c>
      <c r="BQ39" s="2032" t="s">
        <v>93</v>
      </c>
      <c r="BR39" s="2056" t="s">
        <v>93</v>
      </c>
      <c r="BS39" s="2057" t="s">
        <v>93</v>
      </c>
      <c r="BT39" s="2057" t="s">
        <v>93</v>
      </c>
      <c r="BU39" s="2057" t="s">
        <v>93</v>
      </c>
      <c r="BV39" s="2057" t="s">
        <v>93</v>
      </c>
      <c r="BW39" s="2057" t="s">
        <v>93</v>
      </c>
      <c r="BX39" s="2057" t="s">
        <v>93</v>
      </c>
      <c r="BY39" s="2057" t="s">
        <v>93</v>
      </c>
      <c r="BZ39" s="2057" t="s">
        <v>93</v>
      </c>
      <c r="CA39" s="2057" t="s">
        <v>93</v>
      </c>
      <c r="CB39" s="2057" t="s">
        <v>93</v>
      </c>
      <c r="CC39" s="2058" t="s">
        <v>93</v>
      </c>
      <c r="CD39" s="369" t="s">
        <v>93</v>
      </c>
      <c r="CE39" s="369" t="s">
        <v>93</v>
      </c>
      <c r="CF39" s="369" t="s">
        <v>93</v>
      </c>
      <c r="CG39" s="369" t="s">
        <v>93</v>
      </c>
      <c r="CH39" s="369" t="s">
        <v>93</v>
      </c>
      <c r="CI39" s="369" t="s">
        <v>93</v>
      </c>
      <c r="CJ39" s="369" t="s">
        <v>93</v>
      </c>
      <c r="CK39" s="369" t="s">
        <v>93</v>
      </c>
      <c r="CL39" s="369" t="s">
        <v>93</v>
      </c>
      <c r="CM39" s="2056" t="s">
        <v>93</v>
      </c>
      <c r="CN39" s="2057" t="s">
        <v>93</v>
      </c>
      <c r="CO39" s="2057" t="s">
        <v>93</v>
      </c>
      <c r="CP39" s="2057" t="s">
        <v>93</v>
      </c>
      <c r="CQ39" s="2057" t="s">
        <v>93</v>
      </c>
      <c r="CR39" s="2058" t="s">
        <v>93</v>
      </c>
      <c r="CS39" s="369" t="s">
        <v>93</v>
      </c>
      <c r="CT39" s="369" t="s">
        <v>93</v>
      </c>
      <c r="CU39" s="369" t="s">
        <v>93</v>
      </c>
      <c r="CV39" s="369" t="s">
        <v>93</v>
      </c>
      <c r="CW39" s="369" t="s">
        <v>93</v>
      </c>
      <c r="CX39" s="369" t="s">
        <v>93</v>
      </c>
      <c r="CY39" s="2032" t="s">
        <v>93</v>
      </c>
      <c r="CZ39" s="369" t="s">
        <v>118</v>
      </c>
      <c r="DA39" s="369" t="s">
        <v>118</v>
      </c>
      <c r="DB39" s="369" t="s">
        <v>118</v>
      </c>
      <c r="DC39" s="369" t="s">
        <v>118</v>
      </c>
      <c r="DD39" s="369" t="s">
        <v>118</v>
      </c>
      <c r="DE39" s="369" t="s">
        <v>118</v>
      </c>
      <c r="DF39" s="369" t="s">
        <v>118</v>
      </c>
      <c r="DG39" s="2032" t="s">
        <v>118</v>
      </c>
      <c r="DH39" s="369" t="s">
        <v>118</v>
      </c>
      <c r="DI39" s="369" t="s">
        <v>118</v>
      </c>
      <c r="DJ39" s="369" t="s">
        <v>118</v>
      </c>
      <c r="DK39" s="369" t="s">
        <v>118</v>
      </c>
      <c r="DL39" s="2032" t="s">
        <v>118</v>
      </c>
      <c r="DM39" s="369" t="s">
        <v>118</v>
      </c>
      <c r="DN39" s="369" t="s">
        <v>118</v>
      </c>
      <c r="DO39" s="369" t="s">
        <v>118</v>
      </c>
      <c r="DP39" s="2032" t="s">
        <v>118</v>
      </c>
      <c r="DQ39" s="369" t="s">
        <v>118</v>
      </c>
      <c r="DR39" s="369" t="s">
        <v>118</v>
      </c>
      <c r="DS39" s="2032" t="s">
        <v>118</v>
      </c>
      <c r="DT39" s="369" t="s">
        <v>118</v>
      </c>
      <c r="DU39" s="369" t="s">
        <v>118</v>
      </c>
      <c r="DV39" s="369" t="s">
        <v>118</v>
      </c>
      <c r="DW39" s="369" t="s">
        <v>118</v>
      </c>
      <c r="DX39" s="2032" t="s">
        <v>118</v>
      </c>
      <c r="DY39" s="369" t="s">
        <v>118</v>
      </c>
      <c r="DZ39" s="369" t="s">
        <v>118</v>
      </c>
      <c r="EA39" s="369" t="s">
        <v>118</v>
      </c>
      <c r="EB39" s="369" t="s">
        <v>118</v>
      </c>
      <c r="EC39" s="369" t="s">
        <v>118</v>
      </c>
      <c r="ED39" s="2032" t="s">
        <v>118</v>
      </c>
      <c r="EE39" s="369" t="s">
        <v>118</v>
      </c>
      <c r="EF39" s="369" t="s">
        <v>118</v>
      </c>
      <c r="EG39" s="369" t="s">
        <v>118</v>
      </c>
      <c r="EH39" s="369" t="s">
        <v>118</v>
      </c>
      <c r="EI39" s="369" t="s">
        <v>118</v>
      </c>
    </row>
    <row r="40" ht="18.75" customHeight="1">
      <c r="A40" s="158"/>
      <c r="B40" s="135"/>
      <c r="C40" s="2095" t="s">
        <v>201</v>
      </c>
      <c r="D40" s="369" t="s">
        <v>91</v>
      </c>
      <c r="E40" s="369" t="s">
        <v>92</v>
      </c>
      <c r="F40" s="369" t="s">
        <v>91</v>
      </c>
      <c r="G40" s="369" t="s">
        <v>91</v>
      </c>
      <c r="H40" s="369" t="s">
        <v>91</v>
      </c>
      <c r="I40" s="2032" t="s">
        <v>61</v>
      </c>
      <c r="J40" s="369" t="s">
        <v>92</v>
      </c>
      <c r="K40" s="369" t="s">
        <v>91</v>
      </c>
      <c r="L40" s="369" t="s">
        <v>92</v>
      </c>
      <c r="M40" s="369" t="s">
        <v>92</v>
      </c>
      <c r="N40" s="369" t="s">
        <v>91</v>
      </c>
      <c r="O40" s="2032" t="s">
        <v>91</v>
      </c>
      <c r="P40" s="2096" t="s">
        <v>92</v>
      </c>
      <c r="Q40" s="2097" t="s">
        <v>91</v>
      </c>
      <c r="R40" s="2097" t="s">
        <v>91</v>
      </c>
      <c r="S40" s="2097" t="s">
        <v>91</v>
      </c>
      <c r="T40" s="2097" t="s">
        <v>91</v>
      </c>
      <c r="U40" s="2097" t="s">
        <v>91</v>
      </c>
      <c r="V40" s="2096" t="s">
        <v>92</v>
      </c>
      <c r="W40" s="2098" t="s">
        <v>91</v>
      </c>
      <c r="X40" s="369" t="s">
        <v>92</v>
      </c>
      <c r="Y40" s="369" t="s">
        <v>92</v>
      </c>
      <c r="Z40" s="369" t="s">
        <v>91</v>
      </c>
      <c r="AA40" s="369" t="s">
        <v>91</v>
      </c>
      <c r="AB40" s="369" t="s">
        <v>91</v>
      </c>
      <c r="AC40" s="369" t="s">
        <v>91</v>
      </c>
      <c r="AD40" s="2032" t="s">
        <v>91</v>
      </c>
      <c r="AE40" s="369" t="s">
        <v>91</v>
      </c>
      <c r="AF40" s="369" t="s">
        <v>92</v>
      </c>
      <c r="AG40" s="369" t="s">
        <v>91</v>
      </c>
      <c r="AH40" s="369" t="s">
        <v>91</v>
      </c>
      <c r="AI40" s="369" t="s">
        <v>91</v>
      </c>
      <c r="AJ40" s="369" t="s">
        <v>92</v>
      </c>
      <c r="AK40" s="369" t="s">
        <v>91</v>
      </c>
      <c r="AL40" s="369" t="s">
        <v>91</v>
      </c>
      <c r="AM40" s="2032" t="s">
        <v>91</v>
      </c>
      <c r="AN40" s="369" t="s">
        <v>118</v>
      </c>
      <c r="AO40" s="369" t="s">
        <v>118</v>
      </c>
      <c r="AP40" s="369" t="s">
        <v>118</v>
      </c>
      <c r="AQ40" s="369" t="s">
        <v>118</v>
      </c>
      <c r="AR40" s="369" t="s">
        <v>118</v>
      </c>
      <c r="AS40" s="369" t="s">
        <v>118</v>
      </c>
      <c r="AT40" s="369" t="s">
        <v>118</v>
      </c>
      <c r="AU40" s="369" t="s">
        <v>118</v>
      </c>
      <c r="AV40" s="2032" t="s">
        <v>118</v>
      </c>
      <c r="AW40" s="369" t="s">
        <v>118</v>
      </c>
      <c r="AX40" s="369" t="s">
        <v>118</v>
      </c>
      <c r="AY40" s="369" t="s">
        <v>118</v>
      </c>
      <c r="AZ40" s="369" t="s">
        <v>118</v>
      </c>
      <c r="BA40" s="369" t="s">
        <v>118</v>
      </c>
      <c r="BB40" s="369" t="s">
        <v>118</v>
      </c>
      <c r="BC40" s="2032" t="s">
        <v>118</v>
      </c>
      <c r="BD40" s="369" t="s">
        <v>118</v>
      </c>
      <c r="BE40" s="369" t="s">
        <v>118</v>
      </c>
      <c r="BF40" s="369" t="s">
        <v>118</v>
      </c>
      <c r="BG40" s="369" t="s">
        <v>118</v>
      </c>
      <c r="BH40" s="369" t="s">
        <v>118</v>
      </c>
      <c r="BI40" s="369" t="s">
        <v>118</v>
      </c>
      <c r="BJ40" s="369" t="s">
        <v>118</v>
      </c>
      <c r="BK40" s="369" t="s">
        <v>118</v>
      </c>
      <c r="BL40" s="369" t="s">
        <v>118</v>
      </c>
      <c r="BM40" s="369" t="s">
        <v>118</v>
      </c>
      <c r="BN40" s="369" t="s">
        <v>118</v>
      </c>
      <c r="BO40" s="369" t="s">
        <v>118</v>
      </c>
      <c r="BP40" s="369" t="s">
        <v>118</v>
      </c>
      <c r="BQ40" s="2032" t="s">
        <v>118</v>
      </c>
      <c r="BR40" s="2053" t="s">
        <v>118</v>
      </c>
      <c r="BS40" s="2054" t="s">
        <v>118</v>
      </c>
      <c r="BT40" s="2054" t="s">
        <v>118</v>
      </c>
      <c r="BU40" s="2054" t="s">
        <v>118</v>
      </c>
      <c r="BV40" s="2054" t="s">
        <v>118</v>
      </c>
      <c r="BW40" s="2054" t="s">
        <v>118</v>
      </c>
      <c r="BX40" s="2054" t="s">
        <v>118</v>
      </c>
      <c r="BY40" s="2054" t="s">
        <v>118</v>
      </c>
      <c r="BZ40" s="2054" t="s">
        <v>118</v>
      </c>
      <c r="CA40" s="2054" t="s">
        <v>118</v>
      </c>
      <c r="CB40" s="2054" t="s">
        <v>118</v>
      </c>
      <c r="CC40" s="2055" t="s">
        <v>118</v>
      </c>
      <c r="CD40" s="369" t="s">
        <v>118</v>
      </c>
      <c r="CE40" s="369" t="s">
        <v>118</v>
      </c>
      <c r="CF40" s="369" t="s">
        <v>118</v>
      </c>
      <c r="CG40" s="369" t="s">
        <v>118</v>
      </c>
      <c r="CH40" s="369" t="s">
        <v>118</v>
      </c>
      <c r="CI40" s="369" t="s">
        <v>118</v>
      </c>
      <c r="CJ40" s="369" t="s">
        <v>118</v>
      </c>
      <c r="CK40" s="369" t="s">
        <v>118</v>
      </c>
      <c r="CL40" s="369" t="s">
        <v>118</v>
      </c>
      <c r="CM40" s="2053" t="s">
        <v>118</v>
      </c>
      <c r="CN40" s="2054" t="s">
        <v>118</v>
      </c>
      <c r="CO40" s="2054" t="s">
        <v>118</v>
      </c>
      <c r="CP40" s="2054" t="s">
        <v>118</v>
      </c>
      <c r="CQ40" s="2054" t="s">
        <v>118</v>
      </c>
      <c r="CR40" s="2055" t="s">
        <v>118</v>
      </c>
      <c r="CS40" s="369" t="s">
        <v>118</v>
      </c>
      <c r="CT40" s="369" t="s">
        <v>118</v>
      </c>
      <c r="CU40" s="369" t="s">
        <v>118</v>
      </c>
      <c r="CV40" s="369" t="s">
        <v>118</v>
      </c>
      <c r="CW40" s="369" t="s">
        <v>118</v>
      </c>
      <c r="CX40" s="369" t="s">
        <v>118</v>
      </c>
      <c r="CY40" s="2032" t="s">
        <v>118</v>
      </c>
      <c r="CZ40" s="369" t="s">
        <v>118</v>
      </c>
      <c r="DA40" s="369" t="s">
        <v>118</v>
      </c>
      <c r="DB40" s="369" t="s">
        <v>118</v>
      </c>
      <c r="DC40" s="369" t="s">
        <v>118</v>
      </c>
      <c r="DD40" s="369" t="s">
        <v>118</v>
      </c>
      <c r="DE40" s="369" t="s">
        <v>118</v>
      </c>
      <c r="DF40" s="369" t="s">
        <v>118</v>
      </c>
      <c r="DG40" s="2032" t="s">
        <v>118</v>
      </c>
      <c r="DH40" s="369" t="s">
        <v>118</v>
      </c>
      <c r="DI40" s="369" t="s">
        <v>118</v>
      </c>
      <c r="DJ40" s="369" t="s">
        <v>118</v>
      </c>
      <c r="DK40" s="369" t="s">
        <v>118</v>
      </c>
      <c r="DL40" s="2032" t="s">
        <v>118</v>
      </c>
      <c r="DM40" s="369" t="s">
        <v>118</v>
      </c>
      <c r="DN40" s="369" t="s">
        <v>118</v>
      </c>
      <c r="DO40" s="369" t="s">
        <v>118</v>
      </c>
      <c r="DP40" s="2032" t="s">
        <v>118</v>
      </c>
      <c r="DQ40" s="369" t="s">
        <v>118</v>
      </c>
      <c r="DR40" s="369" t="s">
        <v>118</v>
      </c>
      <c r="DS40" s="2032" t="s">
        <v>118</v>
      </c>
      <c r="DT40" s="369" t="s">
        <v>118</v>
      </c>
      <c r="DU40" s="369" t="s">
        <v>118</v>
      </c>
      <c r="DV40" s="369" t="s">
        <v>118</v>
      </c>
      <c r="DW40" s="369" t="s">
        <v>118</v>
      </c>
      <c r="DX40" s="2032" t="s">
        <v>118</v>
      </c>
      <c r="DY40" s="369" t="s">
        <v>118</v>
      </c>
      <c r="DZ40" s="369" t="s">
        <v>118</v>
      </c>
      <c r="EA40" s="369" t="s">
        <v>118</v>
      </c>
      <c r="EB40" s="369" t="s">
        <v>118</v>
      </c>
      <c r="EC40" s="369" t="s">
        <v>118</v>
      </c>
      <c r="ED40" s="2032" t="s">
        <v>118</v>
      </c>
      <c r="EE40" s="369" t="s">
        <v>118</v>
      </c>
      <c r="EF40" s="369" t="s">
        <v>118</v>
      </c>
      <c r="EG40" s="369" t="s">
        <v>118</v>
      </c>
      <c r="EH40" s="369" t="s">
        <v>118</v>
      </c>
      <c r="EI40" s="369" t="s">
        <v>118</v>
      </c>
    </row>
    <row r="41" ht="18.75" customHeight="1">
      <c r="A41" s="158"/>
      <c r="B41" s="135"/>
      <c r="C41" s="162" t="s">
        <v>101</v>
      </c>
      <c r="D41" s="369" t="s">
        <v>118</v>
      </c>
      <c r="E41" s="369" t="s">
        <v>118</v>
      </c>
      <c r="F41" s="369" t="s">
        <v>118</v>
      </c>
      <c r="G41" s="369" t="s">
        <v>118</v>
      </c>
      <c r="H41" s="369" t="s">
        <v>118</v>
      </c>
      <c r="I41" s="2032" t="s">
        <v>118</v>
      </c>
      <c r="J41" s="369" t="s">
        <v>118</v>
      </c>
      <c r="K41" s="369" t="s">
        <v>118</v>
      </c>
      <c r="L41" s="369" t="s">
        <v>118</v>
      </c>
      <c r="M41" s="369" t="s">
        <v>118</v>
      </c>
      <c r="N41" s="369" t="s">
        <v>118</v>
      </c>
      <c r="O41" s="2032" t="s">
        <v>118</v>
      </c>
      <c r="P41" s="369" t="s">
        <v>118</v>
      </c>
      <c r="Q41" s="369" t="s">
        <v>118</v>
      </c>
      <c r="R41" s="369" t="s">
        <v>118</v>
      </c>
      <c r="S41" s="369" t="s">
        <v>118</v>
      </c>
      <c r="T41" s="369" t="s">
        <v>118</v>
      </c>
      <c r="U41" s="369" t="s">
        <v>118</v>
      </c>
      <c r="V41" s="369" t="s">
        <v>118</v>
      </c>
      <c r="W41" s="2032" t="s">
        <v>118</v>
      </c>
      <c r="X41" s="369" t="s">
        <v>118</v>
      </c>
      <c r="Y41" s="369" t="s">
        <v>118</v>
      </c>
      <c r="Z41" s="369" t="s">
        <v>118</v>
      </c>
      <c r="AA41" s="369" t="s">
        <v>118</v>
      </c>
      <c r="AB41" s="369" t="s">
        <v>118</v>
      </c>
      <c r="AC41" s="369" t="s">
        <v>118</v>
      </c>
      <c r="AD41" s="2032" t="s">
        <v>118</v>
      </c>
      <c r="AE41" s="369" t="s">
        <v>118</v>
      </c>
      <c r="AF41" s="369" t="s">
        <v>118</v>
      </c>
      <c r="AG41" s="369" t="s">
        <v>118</v>
      </c>
      <c r="AH41" s="369" t="s">
        <v>118</v>
      </c>
      <c r="AI41" s="369" t="s">
        <v>118</v>
      </c>
      <c r="AJ41" s="369" t="s">
        <v>118</v>
      </c>
      <c r="AK41" s="369" t="s">
        <v>118</v>
      </c>
      <c r="AL41" s="369" t="s">
        <v>118</v>
      </c>
      <c r="AM41" s="2032" t="s">
        <v>118</v>
      </c>
      <c r="AN41" s="369" t="s">
        <v>1703</v>
      </c>
      <c r="AO41" s="369" t="s">
        <v>1702</v>
      </c>
      <c r="AP41" s="2033" t="s">
        <v>1702</v>
      </c>
      <c r="AQ41" s="2033" t="s">
        <v>1702</v>
      </c>
      <c r="AR41" s="2033" t="s">
        <v>1702</v>
      </c>
      <c r="AS41" s="2033" t="s">
        <v>1703</v>
      </c>
      <c r="AT41" s="2033" t="s">
        <v>1702</v>
      </c>
      <c r="AU41" s="2033" t="s">
        <v>1702</v>
      </c>
      <c r="AV41" s="2034" t="s">
        <v>1703</v>
      </c>
      <c r="AW41" s="2033" t="s">
        <v>1703</v>
      </c>
      <c r="AX41" s="369" t="s">
        <v>93</v>
      </c>
      <c r="AY41" s="369" t="s">
        <v>93</v>
      </c>
      <c r="AZ41" s="369" t="s">
        <v>93</v>
      </c>
      <c r="BA41" s="369" t="s">
        <v>93</v>
      </c>
      <c r="BB41" s="369" t="s">
        <v>93</v>
      </c>
      <c r="BC41" s="2032" t="s">
        <v>93</v>
      </c>
      <c r="BD41" s="2033" t="s">
        <v>91</v>
      </c>
      <c r="BE41" s="2033" t="s">
        <v>91</v>
      </c>
      <c r="BF41" s="2033" t="s">
        <v>91</v>
      </c>
      <c r="BG41" s="2033" t="s">
        <v>92</v>
      </c>
      <c r="BH41" s="2033" t="s">
        <v>92</v>
      </c>
      <c r="BI41" s="2033" t="s">
        <v>92</v>
      </c>
      <c r="BJ41" s="2033" t="s">
        <v>91</v>
      </c>
      <c r="BK41" s="369" t="s">
        <v>92</v>
      </c>
      <c r="BL41" s="2033" t="s">
        <v>91</v>
      </c>
      <c r="BM41" s="2033" t="s">
        <v>91</v>
      </c>
      <c r="BN41" s="2033" t="s">
        <v>91</v>
      </c>
      <c r="BO41" s="2033" t="s">
        <v>91</v>
      </c>
      <c r="BP41" s="2033" t="s">
        <v>91</v>
      </c>
      <c r="BQ41" s="2034" t="s">
        <v>91</v>
      </c>
      <c r="BR41" s="2038" t="s">
        <v>91</v>
      </c>
      <c r="BS41" s="2039" t="s">
        <v>91</v>
      </c>
      <c r="BT41" s="2039" t="s">
        <v>91</v>
      </c>
      <c r="BU41" s="2064" t="s">
        <v>92</v>
      </c>
      <c r="BV41" s="2064" t="s">
        <v>92</v>
      </c>
      <c r="BW41" s="2064" t="s">
        <v>92</v>
      </c>
      <c r="BX41" s="2039" t="s">
        <v>91</v>
      </c>
      <c r="BY41" s="2064" t="s">
        <v>92</v>
      </c>
      <c r="BZ41" s="2064" t="s">
        <v>92</v>
      </c>
      <c r="CA41" s="2039" t="s">
        <v>91</v>
      </c>
      <c r="CB41" s="2039" t="s">
        <v>91</v>
      </c>
      <c r="CC41" s="2040" t="s">
        <v>92</v>
      </c>
      <c r="CD41" s="369" t="s">
        <v>1703</v>
      </c>
      <c r="CE41" s="369" t="s">
        <v>1703</v>
      </c>
      <c r="CF41" s="369" t="s">
        <v>1703</v>
      </c>
      <c r="CG41" s="369" t="s">
        <v>1703</v>
      </c>
      <c r="CH41" s="369" t="s">
        <v>1703</v>
      </c>
      <c r="CI41" s="2033" t="s">
        <v>1702</v>
      </c>
      <c r="CJ41" s="2033" t="s">
        <v>1702</v>
      </c>
      <c r="CK41" s="369" t="s">
        <v>1703</v>
      </c>
      <c r="CL41" s="369" t="s">
        <v>1703</v>
      </c>
      <c r="CM41" s="2035" t="s">
        <v>93</v>
      </c>
      <c r="CN41" s="2036" t="s">
        <v>93</v>
      </c>
      <c r="CO41" s="2036" t="s">
        <v>93</v>
      </c>
      <c r="CP41" s="2036" t="s">
        <v>93</v>
      </c>
      <c r="CQ41" s="2036" t="s">
        <v>93</v>
      </c>
      <c r="CR41" s="2037" t="s">
        <v>93</v>
      </c>
      <c r="CS41" s="369" t="s">
        <v>91</v>
      </c>
      <c r="CT41" s="369" t="s">
        <v>91</v>
      </c>
      <c r="CU41" s="369" t="s">
        <v>91</v>
      </c>
      <c r="CV41" s="369" t="s">
        <v>92</v>
      </c>
      <c r="CW41" s="369" t="s">
        <v>92</v>
      </c>
      <c r="CX41" s="369" t="s">
        <v>92</v>
      </c>
      <c r="CY41" s="2032" t="s">
        <v>92</v>
      </c>
      <c r="CZ41" s="369" t="s">
        <v>91</v>
      </c>
      <c r="DA41" s="369" t="s">
        <v>91</v>
      </c>
      <c r="DB41" s="369" t="s">
        <v>91</v>
      </c>
      <c r="DC41" s="369" t="s">
        <v>92</v>
      </c>
      <c r="DD41" s="369" t="s">
        <v>91</v>
      </c>
      <c r="DE41" s="369" t="s">
        <v>91</v>
      </c>
      <c r="DF41" s="369" t="s">
        <v>91</v>
      </c>
      <c r="DG41" s="2032" t="s">
        <v>91</v>
      </c>
      <c r="DH41" s="369" t="s">
        <v>93</v>
      </c>
      <c r="DI41" s="369" t="s">
        <v>93</v>
      </c>
      <c r="DJ41" s="369" t="s">
        <v>93</v>
      </c>
      <c r="DK41" s="369" t="s">
        <v>93</v>
      </c>
      <c r="DL41" s="2032" t="s">
        <v>93</v>
      </c>
      <c r="DM41" s="369" t="s">
        <v>92</v>
      </c>
      <c r="DN41" s="369" t="s">
        <v>92</v>
      </c>
      <c r="DO41" s="369" t="s">
        <v>92</v>
      </c>
      <c r="DP41" s="2032" t="s">
        <v>92</v>
      </c>
      <c r="DQ41" s="369" t="s">
        <v>92</v>
      </c>
      <c r="DR41" s="369" t="s">
        <v>91</v>
      </c>
      <c r="DS41" s="2032" t="s">
        <v>92</v>
      </c>
      <c r="DT41" s="369" t="s">
        <v>91</v>
      </c>
      <c r="DU41" s="369" t="s">
        <v>91</v>
      </c>
      <c r="DV41" s="369" t="s">
        <v>91</v>
      </c>
      <c r="DW41" s="369" t="s">
        <v>91</v>
      </c>
      <c r="DX41" s="2032" t="s">
        <v>91</v>
      </c>
      <c r="DY41" s="369" t="s">
        <v>93</v>
      </c>
      <c r="DZ41" s="369" t="s">
        <v>93</v>
      </c>
      <c r="EA41" s="369" t="s">
        <v>93</v>
      </c>
      <c r="EB41" s="369" t="s">
        <v>93</v>
      </c>
      <c r="EC41" s="369" t="s">
        <v>93</v>
      </c>
      <c r="ED41" s="2032" t="s">
        <v>93</v>
      </c>
      <c r="EE41" s="2074" t="s">
        <v>92</v>
      </c>
      <c r="EF41" s="2099" t="s">
        <v>91</v>
      </c>
      <c r="EG41" s="2043" t="s">
        <v>92</v>
      </c>
      <c r="EH41" s="2044" t="s">
        <v>91</v>
      </c>
      <c r="EI41" s="2045" t="s">
        <v>91</v>
      </c>
    </row>
    <row r="42" ht="18.75" customHeight="1">
      <c r="A42" s="158"/>
      <c r="B42" s="135"/>
      <c r="C42" s="2095" t="s">
        <v>1363</v>
      </c>
      <c r="D42" s="369" t="s">
        <v>91</v>
      </c>
      <c r="E42" s="369" t="s">
        <v>92</v>
      </c>
      <c r="F42" s="369" t="s">
        <v>91</v>
      </c>
      <c r="G42" s="369" t="s">
        <v>91</v>
      </c>
      <c r="H42" s="369" t="s">
        <v>92</v>
      </c>
      <c r="I42" s="2032" t="s">
        <v>61</v>
      </c>
      <c r="J42" s="369" t="s">
        <v>93</v>
      </c>
      <c r="K42" s="369" t="s">
        <v>93</v>
      </c>
      <c r="L42" s="369" t="s">
        <v>93</v>
      </c>
      <c r="M42" s="369" t="s">
        <v>93</v>
      </c>
      <c r="N42" s="369" t="s">
        <v>93</v>
      </c>
      <c r="O42" s="2032" t="s">
        <v>93</v>
      </c>
      <c r="P42" s="369" t="s">
        <v>118</v>
      </c>
      <c r="Q42" s="369" t="s">
        <v>118</v>
      </c>
      <c r="R42" s="369" t="s">
        <v>118</v>
      </c>
      <c r="S42" s="369" t="s">
        <v>118</v>
      </c>
      <c r="T42" s="369" t="s">
        <v>118</v>
      </c>
      <c r="U42" s="369" t="s">
        <v>118</v>
      </c>
      <c r="V42" s="369" t="s">
        <v>118</v>
      </c>
      <c r="W42" s="2032" t="s">
        <v>118</v>
      </c>
      <c r="X42" s="369" t="s">
        <v>118</v>
      </c>
      <c r="Y42" s="369" t="s">
        <v>118</v>
      </c>
      <c r="Z42" s="369" t="s">
        <v>118</v>
      </c>
      <c r="AA42" s="369" t="s">
        <v>118</v>
      </c>
      <c r="AB42" s="369" t="s">
        <v>118</v>
      </c>
      <c r="AC42" s="369" t="s">
        <v>118</v>
      </c>
      <c r="AD42" s="2032" t="s">
        <v>118</v>
      </c>
      <c r="AE42" s="369" t="s">
        <v>118</v>
      </c>
      <c r="AF42" s="369" t="s">
        <v>118</v>
      </c>
      <c r="AG42" s="369" t="s">
        <v>118</v>
      </c>
      <c r="AH42" s="369" t="s">
        <v>118</v>
      </c>
      <c r="AI42" s="369" t="s">
        <v>118</v>
      </c>
      <c r="AJ42" s="369" t="s">
        <v>118</v>
      </c>
      <c r="AK42" s="369" t="s">
        <v>118</v>
      </c>
      <c r="AL42" s="369" t="s">
        <v>118</v>
      </c>
      <c r="AM42" s="2032" t="s">
        <v>118</v>
      </c>
      <c r="AN42" s="369" t="s">
        <v>118</v>
      </c>
      <c r="AO42" s="369" t="s">
        <v>118</v>
      </c>
      <c r="AP42" s="369" t="s">
        <v>118</v>
      </c>
      <c r="AQ42" s="369" t="s">
        <v>118</v>
      </c>
      <c r="AR42" s="369" t="s">
        <v>118</v>
      </c>
      <c r="AS42" s="369" t="s">
        <v>118</v>
      </c>
      <c r="AT42" s="369" t="s">
        <v>118</v>
      </c>
      <c r="AU42" s="369" t="s">
        <v>118</v>
      </c>
      <c r="AV42" s="2032" t="s">
        <v>118</v>
      </c>
      <c r="AW42" s="369" t="s">
        <v>118</v>
      </c>
      <c r="AX42" s="369" t="s">
        <v>118</v>
      </c>
      <c r="AY42" s="369" t="s">
        <v>118</v>
      </c>
      <c r="AZ42" s="369" t="s">
        <v>118</v>
      </c>
      <c r="BA42" s="369" t="s">
        <v>118</v>
      </c>
      <c r="BB42" s="369" t="s">
        <v>118</v>
      </c>
      <c r="BC42" s="2032" t="s">
        <v>118</v>
      </c>
      <c r="BD42" s="369" t="s">
        <v>118</v>
      </c>
      <c r="BE42" s="369" t="s">
        <v>118</v>
      </c>
      <c r="BF42" s="369" t="s">
        <v>118</v>
      </c>
      <c r="BG42" s="369" t="s">
        <v>118</v>
      </c>
      <c r="BH42" s="369" t="s">
        <v>118</v>
      </c>
      <c r="BI42" s="369" t="s">
        <v>118</v>
      </c>
      <c r="BJ42" s="369" t="s">
        <v>118</v>
      </c>
      <c r="BK42" s="369" t="s">
        <v>118</v>
      </c>
      <c r="BL42" s="369" t="s">
        <v>118</v>
      </c>
      <c r="BM42" s="369" t="s">
        <v>118</v>
      </c>
      <c r="BN42" s="369" t="s">
        <v>118</v>
      </c>
      <c r="BO42" s="369" t="s">
        <v>118</v>
      </c>
      <c r="BP42" s="369" t="s">
        <v>118</v>
      </c>
      <c r="BQ42" s="2032" t="s">
        <v>118</v>
      </c>
      <c r="BR42" s="2053" t="s">
        <v>118</v>
      </c>
      <c r="BS42" s="2054" t="s">
        <v>118</v>
      </c>
      <c r="BT42" s="2054" t="s">
        <v>118</v>
      </c>
      <c r="BU42" s="2054" t="s">
        <v>118</v>
      </c>
      <c r="BV42" s="2054" t="s">
        <v>118</v>
      </c>
      <c r="BW42" s="2054" t="s">
        <v>118</v>
      </c>
      <c r="BX42" s="2054" t="s">
        <v>118</v>
      </c>
      <c r="BY42" s="2054" t="s">
        <v>118</v>
      </c>
      <c r="BZ42" s="2054" t="s">
        <v>118</v>
      </c>
      <c r="CA42" s="2054" t="s">
        <v>118</v>
      </c>
      <c r="CB42" s="2054" t="s">
        <v>118</v>
      </c>
      <c r="CC42" s="2055" t="s">
        <v>118</v>
      </c>
      <c r="CD42" s="369" t="s">
        <v>118</v>
      </c>
      <c r="CE42" s="369" t="s">
        <v>118</v>
      </c>
      <c r="CF42" s="369" t="s">
        <v>118</v>
      </c>
      <c r="CG42" s="369" t="s">
        <v>118</v>
      </c>
      <c r="CH42" s="369" t="s">
        <v>118</v>
      </c>
      <c r="CI42" s="369" t="s">
        <v>118</v>
      </c>
      <c r="CJ42" s="369" t="s">
        <v>118</v>
      </c>
      <c r="CK42" s="369" t="s">
        <v>118</v>
      </c>
      <c r="CL42" s="369" t="s">
        <v>118</v>
      </c>
      <c r="CM42" s="2053" t="s">
        <v>118</v>
      </c>
      <c r="CN42" s="2054" t="s">
        <v>118</v>
      </c>
      <c r="CO42" s="2054" t="s">
        <v>118</v>
      </c>
      <c r="CP42" s="2054" t="s">
        <v>118</v>
      </c>
      <c r="CQ42" s="2054" t="s">
        <v>118</v>
      </c>
      <c r="CR42" s="2055" t="s">
        <v>118</v>
      </c>
      <c r="CS42" s="369" t="s">
        <v>118</v>
      </c>
      <c r="CT42" s="369" t="s">
        <v>118</v>
      </c>
      <c r="CU42" s="369" t="s">
        <v>118</v>
      </c>
      <c r="CV42" s="369" t="s">
        <v>118</v>
      </c>
      <c r="CW42" s="369" t="s">
        <v>118</v>
      </c>
      <c r="CX42" s="369" t="s">
        <v>118</v>
      </c>
      <c r="CY42" s="2032" t="s">
        <v>118</v>
      </c>
      <c r="CZ42" s="369" t="s">
        <v>118</v>
      </c>
      <c r="DA42" s="369" t="s">
        <v>118</v>
      </c>
      <c r="DB42" s="369" t="s">
        <v>118</v>
      </c>
      <c r="DC42" s="369" t="s">
        <v>118</v>
      </c>
      <c r="DD42" s="369" t="s">
        <v>118</v>
      </c>
      <c r="DE42" s="369" t="s">
        <v>118</v>
      </c>
      <c r="DF42" s="369" t="s">
        <v>118</v>
      </c>
      <c r="DG42" s="2032" t="s">
        <v>118</v>
      </c>
      <c r="DH42" s="369" t="s">
        <v>118</v>
      </c>
      <c r="DI42" s="369" t="s">
        <v>118</v>
      </c>
      <c r="DJ42" s="369" t="s">
        <v>118</v>
      </c>
      <c r="DK42" s="369" t="s">
        <v>118</v>
      </c>
      <c r="DL42" s="2032" t="s">
        <v>118</v>
      </c>
      <c r="DM42" s="369" t="s">
        <v>118</v>
      </c>
      <c r="DN42" s="369" t="s">
        <v>118</v>
      </c>
      <c r="DO42" s="369" t="s">
        <v>118</v>
      </c>
      <c r="DP42" s="2032" t="s">
        <v>118</v>
      </c>
      <c r="DQ42" s="369" t="s">
        <v>118</v>
      </c>
      <c r="DR42" s="369" t="s">
        <v>118</v>
      </c>
      <c r="DS42" s="2032" t="s">
        <v>118</v>
      </c>
      <c r="DT42" s="369" t="s">
        <v>118</v>
      </c>
      <c r="DU42" s="369" t="s">
        <v>118</v>
      </c>
      <c r="DV42" s="369" t="s">
        <v>118</v>
      </c>
      <c r="DW42" s="369" t="s">
        <v>118</v>
      </c>
      <c r="DX42" s="2032" t="s">
        <v>118</v>
      </c>
      <c r="DY42" s="369" t="s">
        <v>118</v>
      </c>
      <c r="DZ42" s="369" t="s">
        <v>118</v>
      </c>
      <c r="EA42" s="369" t="s">
        <v>118</v>
      </c>
      <c r="EB42" s="369" t="s">
        <v>118</v>
      </c>
      <c r="EC42" s="369" t="s">
        <v>118</v>
      </c>
      <c r="ED42" s="2032" t="s">
        <v>118</v>
      </c>
      <c r="EE42" s="369" t="s">
        <v>118</v>
      </c>
      <c r="EF42" s="369" t="s">
        <v>118</v>
      </c>
      <c r="EG42" s="369" t="s">
        <v>118</v>
      </c>
      <c r="EH42" s="369" t="s">
        <v>118</v>
      </c>
      <c r="EI42" s="369" t="s">
        <v>118</v>
      </c>
    </row>
    <row r="43" ht="18.75" customHeight="1">
      <c r="A43" s="158"/>
      <c r="B43" s="135"/>
      <c r="C43" s="2095" t="s">
        <v>48</v>
      </c>
      <c r="D43" s="369" t="s">
        <v>118</v>
      </c>
      <c r="E43" s="369" t="s">
        <v>118</v>
      </c>
      <c r="F43" s="369" t="s">
        <v>118</v>
      </c>
      <c r="G43" s="369" t="s">
        <v>118</v>
      </c>
      <c r="H43" s="369" t="s">
        <v>118</v>
      </c>
      <c r="I43" s="2032" t="s">
        <v>118</v>
      </c>
      <c r="J43" s="369" t="s">
        <v>118</v>
      </c>
      <c r="K43" s="369" t="s">
        <v>118</v>
      </c>
      <c r="L43" s="369" t="s">
        <v>118</v>
      </c>
      <c r="M43" s="369" t="s">
        <v>118</v>
      </c>
      <c r="N43" s="369" t="s">
        <v>118</v>
      </c>
      <c r="O43" s="2032" t="s">
        <v>118</v>
      </c>
      <c r="P43" s="369" t="s">
        <v>92</v>
      </c>
      <c r="Q43" s="369" t="s">
        <v>92</v>
      </c>
      <c r="R43" s="369" t="s">
        <v>92</v>
      </c>
      <c r="S43" s="369" t="s">
        <v>92</v>
      </c>
      <c r="T43" s="369" t="s">
        <v>91</v>
      </c>
      <c r="U43" s="369" t="s">
        <v>91</v>
      </c>
      <c r="V43" s="369" t="s">
        <v>92</v>
      </c>
      <c r="W43" s="2032" t="s">
        <v>91</v>
      </c>
      <c r="X43" s="369" t="s">
        <v>92</v>
      </c>
      <c r="Y43" s="369" t="s">
        <v>91</v>
      </c>
      <c r="Z43" s="369" t="s">
        <v>91</v>
      </c>
      <c r="AA43" s="369" t="s">
        <v>92</v>
      </c>
      <c r="AB43" s="369" t="s">
        <v>92</v>
      </c>
      <c r="AC43" s="369" t="s">
        <v>91</v>
      </c>
      <c r="AD43" s="2032" t="s">
        <v>91</v>
      </c>
      <c r="AE43" s="369" t="s">
        <v>91</v>
      </c>
      <c r="AF43" s="369" t="s">
        <v>92</v>
      </c>
      <c r="AG43" s="369" t="s">
        <v>91</v>
      </c>
      <c r="AH43" s="369" t="s">
        <v>91</v>
      </c>
      <c r="AI43" s="369" t="s">
        <v>91</v>
      </c>
      <c r="AJ43" s="369" t="s">
        <v>92</v>
      </c>
      <c r="AK43" s="369" t="s">
        <v>91</v>
      </c>
      <c r="AL43" s="369" t="s">
        <v>91</v>
      </c>
      <c r="AM43" s="2032" t="s">
        <v>91</v>
      </c>
      <c r="AN43" s="369" t="s">
        <v>118</v>
      </c>
      <c r="AO43" s="369" t="s">
        <v>118</v>
      </c>
      <c r="AP43" s="369" t="s">
        <v>118</v>
      </c>
      <c r="AQ43" s="369" t="s">
        <v>118</v>
      </c>
      <c r="AR43" s="369" t="s">
        <v>118</v>
      </c>
      <c r="AS43" s="369" t="s">
        <v>118</v>
      </c>
      <c r="AT43" s="369" t="s">
        <v>118</v>
      </c>
      <c r="AU43" s="369" t="s">
        <v>118</v>
      </c>
      <c r="AV43" s="2032" t="s">
        <v>118</v>
      </c>
      <c r="AW43" s="369" t="s">
        <v>118</v>
      </c>
      <c r="AX43" s="369" t="s">
        <v>118</v>
      </c>
      <c r="AY43" s="369" t="s">
        <v>118</v>
      </c>
      <c r="AZ43" s="369" t="s">
        <v>118</v>
      </c>
      <c r="BA43" s="369" t="s">
        <v>118</v>
      </c>
      <c r="BB43" s="369" t="s">
        <v>118</v>
      </c>
      <c r="BC43" s="2032" t="s">
        <v>118</v>
      </c>
      <c r="BD43" s="369" t="s">
        <v>118</v>
      </c>
      <c r="BE43" s="369" t="s">
        <v>118</v>
      </c>
      <c r="BF43" s="369" t="s">
        <v>118</v>
      </c>
      <c r="BG43" s="369" t="s">
        <v>118</v>
      </c>
      <c r="BH43" s="369" t="s">
        <v>118</v>
      </c>
      <c r="BI43" s="369" t="s">
        <v>118</v>
      </c>
      <c r="BJ43" s="369" t="s">
        <v>118</v>
      </c>
      <c r="BK43" s="369" t="s">
        <v>118</v>
      </c>
      <c r="BL43" s="369" t="s">
        <v>118</v>
      </c>
      <c r="BM43" s="369" t="s">
        <v>118</v>
      </c>
      <c r="BN43" s="369" t="s">
        <v>118</v>
      </c>
      <c r="BO43" s="369" t="s">
        <v>118</v>
      </c>
      <c r="BP43" s="369" t="s">
        <v>118</v>
      </c>
      <c r="BQ43" s="2032" t="s">
        <v>118</v>
      </c>
      <c r="BR43" s="2053" t="s">
        <v>118</v>
      </c>
      <c r="BS43" s="2054" t="s">
        <v>118</v>
      </c>
      <c r="BT43" s="2054" t="s">
        <v>118</v>
      </c>
      <c r="BU43" s="2054" t="s">
        <v>118</v>
      </c>
      <c r="BV43" s="2054" t="s">
        <v>118</v>
      </c>
      <c r="BW43" s="2054" t="s">
        <v>118</v>
      </c>
      <c r="BX43" s="2054" t="s">
        <v>118</v>
      </c>
      <c r="BY43" s="2054" t="s">
        <v>118</v>
      </c>
      <c r="BZ43" s="2054" t="s">
        <v>118</v>
      </c>
      <c r="CA43" s="2054" t="s">
        <v>118</v>
      </c>
      <c r="CB43" s="2054" t="s">
        <v>118</v>
      </c>
      <c r="CC43" s="2055" t="s">
        <v>118</v>
      </c>
      <c r="CD43" s="369" t="s">
        <v>118</v>
      </c>
      <c r="CE43" s="369" t="s">
        <v>118</v>
      </c>
      <c r="CF43" s="369" t="s">
        <v>118</v>
      </c>
      <c r="CG43" s="369" t="s">
        <v>118</v>
      </c>
      <c r="CH43" s="369" t="s">
        <v>118</v>
      </c>
      <c r="CI43" s="369" t="s">
        <v>118</v>
      </c>
      <c r="CJ43" s="369" t="s">
        <v>118</v>
      </c>
      <c r="CK43" s="369" t="s">
        <v>118</v>
      </c>
      <c r="CL43" s="369" t="s">
        <v>118</v>
      </c>
      <c r="CM43" s="2053" t="s">
        <v>118</v>
      </c>
      <c r="CN43" s="2054" t="s">
        <v>118</v>
      </c>
      <c r="CO43" s="2054" t="s">
        <v>118</v>
      </c>
      <c r="CP43" s="2054" t="s">
        <v>118</v>
      </c>
      <c r="CQ43" s="2054" t="s">
        <v>118</v>
      </c>
      <c r="CR43" s="2055" t="s">
        <v>118</v>
      </c>
      <c r="CS43" s="369" t="s">
        <v>118</v>
      </c>
      <c r="CT43" s="369" t="s">
        <v>118</v>
      </c>
      <c r="CU43" s="369" t="s">
        <v>118</v>
      </c>
      <c r="CV43" s="369" t="s">
        <v>118</v>
      </c>
      <c r="CW43" s="369" t="s">
        <v>118</v>
      </c>
      <c r="CX43" s="369" t="s">
        <v>118</v>
      </c>
      <c r="CY43" s="2032" t="s">
        <v>118</v>
      </c>
      <c r="CZ43" s="369" t="s">
        <v>118</v>
      </c>
      <c r="DA43" s="369" t="s">
        <v>118</v>
      </c>
      <c r="DB43" s="369" t="s">
        <v>118</v>
      </c>
      <c r="DC43" s="369" t="s">
        <v>118</v>
      </c>
      <c r="DD43" s="369" t="s">
        <v>118</v>
      </c>
      <c r="DE43" s="369" t="s">
        <v>118</v>
      </c>
      <c r="DF43" s="369" t="s">
        <v>118</v>
      </c>
      <c r="DG43" s="2032" t="s">
        <v>118</v>
      </c>
      <c r="DH43" s="369" t="s">
        <v>118</v>
      </c>
      <c r="DI43" s="369" t="s">
        <v>118</v>
      </c>
      <c r="DJ43" s="369" t="s">
        <v>118</v>
      </c>
      <c r="DK43" s="369" t="s">
        <v>118</v>
      </c>
      <c r="DL43" s="2032" t="s">
        <v>118</v>
      </c>
      <c r="DM43" s="369" t="s">
        <v>118</v>
      </c>
      <c r="DN43" s="369" t="s">
        <v>118</v>
      </c>
      <c r="DO43" s="369" t="s">
        <v>118</v>
      </c>
      <c r="DP43" s="2032" t="s">
        <v>118</v>
      </c>
      <c r="DQ43" s="369" t="s">
        <v>118</v>
      </c>
      <c r="DR43" s="369" t="s">
        <v>118</v>
      </c>
      <c r="DS43" s="2032" t="s">
        <v>118</v>
      </c>
      <c r="DT43" s="369" t="s">
        <v>118</v>
      </c>
      <c r="DU43" s="369" t="s">
        <v>118</v>
      </c>
      <c r="DV43" s="369" t="s">
        <v>118</v>
      </c>
      <c r="DW43" s="369" t="s">
        <v>118</v>
      </c>
      <c r="DX43" s="2032" t="s">
        <v>118</v>
      </c>
      <c r="DY43" s="369" t="s">
        <v>118</v>
      </c>
      <c r="DZ43" s="369" t="s">
        <v>118</v>
      </c>
      <c r="EA43" s="369" t="s">
        <v>118</v>
      </c>
      <c r="EB43" s="369" t="s">
        <v>118</v>
      </c>
      <c r="EC43" s="369" t="s">
        <v>118</v>
      </c>
      <c r="ED43" s="2032" t="s">
        <v>118</v>
      </c>
      <c r="EE43" s="369" t="s">
        <v>118</v>
      </c>
      <c r="EF43" s="369" t="s">
        <v>118</v>
      </c>
      <c r="EG43" s="369" t="s">
        <v>118</v>
      </c>
      <c r="EH43" s="369" t="s">
        <v>118</v>
      </c>
      <c r="EI43" s="369" t="s">
        <v>118</v>
      </c>
    </row>
    <row r="44" ht="18.75" customHeight="1">
      <c r="A44" s="158"/>
      <c r="B44" s="135"/>
      <c r="C44" s="162" t="s">
        <v>102</v>
      </c>
      <c r="D44" s="369" t="s">
        <v>118</v>
      </c>
      <c r="E44" s="369" t="s">
        <v>118</v>
      </c>
      <c r="F44" s="369" t="s">
        <v>118</v>
      </c>
      <c r="G44" s="369" t="s">
        <v>118</v>
      </c>
      <c r="H44" s="369" t="s">
        <v>118</v>
      </c>
      <c r="I44" s="2032" t="s">
        <v>118</v>
      </c>
      <c r="J44" s="369" t="s">
        <v>118</v>
      </c>
      <c r="K44" s="369" t="s">
        <v>118</v>
      </c>
      <c r="L44" s="369" t="s">
        <v>118</v>
      </c>
      <c r="M44" s="369" t="s">
        <v>118</v>
      </c>
      <c r="N44" s="369" t="s">
        <v>118</v>
      </c>
      <c r="O44" s="2032" t="s">
        <v>118</v>
      </c>
      <c r="P44" s="369" t="s">
        <v>118</v>
      </c>
      <c r="Q44" s="369" t="s">
        <v>118</v>
      </c>
      <c r="R44" s="369" t="s">
        <v>118</v>
      </c>
      <c r="S44" s="369" t="s">
        <v>118</v>
      </c>
      <c r="T44" s="369" t="s">
        <v>118</v>
      </c>
      <c r="U44" s="369" t="s">
        <v>118</v>
      </c>
      <c r="V44" s="369" t="s">
        <v>118</v>
      </c>
      <c r="W44" s="2032" t="s">
        <v>118</v>
      </c>
      <c r="X44" s="369" t="s">
        <v>118</v>
      </c>
      <c r="Y44" s="369" t="s">
        <v>118</v>
      </c>
      <c r="Z44" s="369" t="s">
        <v>118</v>
      </c>
      <c r="AA44" s="369" t="s">
        <v>118</v>
      </c>
      <c r="AB44" s="369" t="s">
        <v>118</v>
      </c>
      <c r="AC44" s="369" t="s">
        <v>118</v>
      </c>
      <c r="AD44" s="2032" t="s">
        <v>118</v>
      </c>
      <c r="AE44" s="369" t="s">
        <v>118</v>
      </c>
      <c r="AF44" s="369" t="s">
        <v>118</v>
      </c>
      <c r="AG44" s="369" t="s">
        <v>118</v>
      </c>
      <c r="AH44" s="369" t="s">
        <v>118</v>
      </c>
      <c r="AI44" s="369" t="s">
        <v>118</v>
      </c>
      <c r="AJ44" s="369" t="s">
        <v>118</v>
      </c>
      <c r="AK44" s="369" t="s">
        <v>118</v>
      </c>
      <c r="AL44" s="369" t="s">
        <v>118</v>
      </c>
      <c r="AM44" s="2032" t="s">
        <v>118</v>
      </c>
      <c r="AN44" s="369" t="s">
        <v>1703</v>
      </c>
      <c r="AO44" s="369" t="s">
        <v>1702</v>
      </c>
      <c r="AP44" s="2033" t="s">
        <v>1702</v>
      </c>
      <c r="AQ44" s="2033" t="s">
        <v>1702</v>
      </c>
      <c r="AR44" s="2033" t="s">
        <v>1702</v>
      </c>
      <c r="AS44" s="2033" t="s">
        <v>1703</v>
      </c>
      <c r="AT44" s="2033" t="s">
        <v>1702</v>
      </c>
      <c r="AU44" s="2033" t="s">
        <v>1702</v>
      </c>
      <c r="AV44" s="2034" t="s">
        <v>1703</v>
      </c>
      <c r="AW44" s="2033" t="s">
        <v>1702</v>
      </c>
      <c r="AX44" s="369" t="s">
        <v>1702</v>
      </c>
      <c r="AY44" s="369" t="s">
        <v>1703</v>
      </c>
      <c r="AZ44" s="369" t="s">
        <v>1702</v>
      </c>
      <c r="BA44" s="369" t="s">
        <v>1702</v>
      </c>
      <c r="BB44" s="369" t="s">
        <v>1702</v>
      </c>
      <c r="BC44" s="2032" t="s">
        <v>1702</v>
      </c>
      <c r="BD44" s="2033" t="s">
        <v>91</v>
      </c>
      <c r="BE44" s="2033" t="s">
        <v>91</v>
      </c>
      <c r="BF44" s="2033" t="s">
        <v>91</v>
      </c>
      <c r="BG44" s="2033" t="s">
        <v>92</v>
      </c>
      <c r="BH44" s="2033" t="s">
        <v>92</v>
      </c>
      <c r="BI44" s="2033" t="s">
        <v>92</v>
      </c>
      <c r="BJ44" s="2033" t="s">
        <v>91</v>
      </c>
      <c r="BK44" s="369" t="s">
        <v>92</v>
      </c>
      <c r="BL44" s="2033" t="s">
        <v>91</v>
      </c>
      <c r="BM44" s="2033" t="s">
        <v>91</v>
      </c>
      <c r="BN44" s="2033" t="s">
        <v>91</v>
      </c>
      <c r="BO44" s="2033" t="s">
        <v>91</v>
      </c>
      <c r="BP44" s="2033" t="s">
        <v>91</v>
      </c>
      <c r="BQ44" s="2034" t="s">
        <v>91</v>
      </c>
      <c r="BR44" s="2050" t="s">
        <v>91</v>
      </c>
      <c r="BS44" s="2051" t="s">
        <v>92</v>
      </c>
      <c r="BT44" s="2051" t="s">
        <v>91</v>
      </c>
      <c r="BU44" s="2051" t="s">
        <v>92</v>
      </c>
      <c r="BV44" s="2051" t="s">
        <v>92</v>
      </c>
      <c r="BW44" s="2051" t="s">
        <v>92</v>
      </c>
      <c r="BX44" s="2051" t="s">
        <v>91</v>
      </c>
      <c r="BY44" s="2051" t="s">
        <v>92</v>
      </c>
      <c r="BZ44" s="2051" t="s">
        <v>92</v>
      </c>
      <c r="CA44" s="2051" t="s">
        <v>91</v>
      </c>
      <c r="CB44" s="2051" t="s">
        <v>91</v>
      </c>
      <c r="CC44" s="2052" t="s">
        <v>92</v>
      </c>
      <c r="CD44" s="369" t="s">
        <v>1703</v>
      </c>
      <c r="CE44" s="369" t="s">
        <v>1703</v>
      </c>
      <c r="CF44" s="369" t="s">
        <v>1703</v>
      </c>
      <c r="CG44" s="369" t="s">
        <v>1703</v>
      </c>
      <c r="CH44" s="369" t="s">
        <v>1703</v>
      </c>
      <c r="CI44" s="2033" t="s">
        <v>1702</v>
      </c>
      <c r="CJ44" s="2033" t="s">
        <v>1702</v>
      </c>
      <c r="CK44" s="369" t="s">
        <v>1703</v>
      </c>
      <c r="CL44" s="369" t="s">
        <v>1703</v>
      </c>
      <c r="CM44" s="2038" t="s">
        <v>91</v>
      </c>
      <c r="CN44" s="2039" t="s">
        <v>91</v>
      </c>
      <c r="CO44" s="2039" t="s">
        <v>91</v>
      </c>
      <c r="CP44" s="2064" t="s">
        <v>92</v>
      </c>
      <c r="CQ44" s="2039" t="s">
        <v>91</v>
      </c>
      <c r="CR44" s="2062" t="s">
        <v>91</v>
      </c>
      <c r="CS44" s="369" t="s">
        <v>91</v>
      </c>
      <c r="CT44" s="369" t="s">
        <v>91</v>
      </c>
      <c r="CU44" s="369" t="s">
        <v>91</v>
      </c>
      <c r="CV44" s="369" t="s">
        <v>92</v>
      </c>
      <c r="CW44" s="369" t="s">
        <v>92</v>
      </c>
      <c r="CX44" s="369" t="s">
        <v>92</v>
      </c>
      <c r="CY44" s="2032" t="s">
        <v>92</v>
      </c>
      <c r="CZ44" s="369" t="s">
        <v>91</v>
      </c>
      <c r="DA44" s="369" t="s">
        <v>91</v>
      </c>
      <c r="DB44" s="369" t="s">
        <v>91</v>
      </c>
      <c r="DC44" s="369" t="s">
        <v>92</v>
      </c>
      <c r="DD44" s="369" t="s">
        <v>91</v>
      </c>
      <c r="DE44" s="369" t="s">
        <v>91</v>
      </c>
      <c r="DF44" s="369" t="s">
        <v>91</v>
      </c>
      <c r="DG44" s="2032" t="s">
        <v>91</v>
      </c>
      <c r="DH44" s="369" t="s">
        <v>91</v>
      </c>
      <c r="DI44" s="2041" t="s">
        <v>91</v>
      </c>
      <c r="DJ44" s="369" t="s">
        <v>91</v>
      </c>
      <c r="DK44" s="369" t="s">
        <v>91</v>
      </c>
      <c r="DL44" s="2032" t="s">
        <v>91</v>
      </c>
      <c r="DM44" s="369" t="s">
        <v>93</v>
      </c>
      <c r="DN44" s="369" t="s">
        <v>93</v>
      </c>
      <c r="DO44" s="369" t="s">
        <v>93</v>
      </c>
      <c r="DP44" s="2032" t="s">
        <v>93</v>
      </c>
      <c r="DQ44" s="369" t="s">
        <v>92</v>
      </c>
      <c r="DR44" s="369" t="s">
        <v>91</v>
      </c>
      <c r="DS44" s="2032" t="s">
        <v>92</v>
      </c>
      <c r="DT44" s="369" t="s">
        <v>91</v>
      </c>
      <c r="DU44" s="369" t="s">
        <v>91</v>
      </c>
      <c r="DV44" s="369" t="s">
        <v>91</v>
      </c>
      <c r="DW44" s="369" t="s">
        <v>91</v>
      </c>
      <c r="DX44" s="2032" t="s">
        <v>91</v>
      </c>
      <c r="DY44" s="369" t="s">
        <v>93</v>
      </c>
      <c r="DZ44" s="369" t="s">
        <v>93</v>
      </c>
      <c r="EA44" s="369" t="s">
        <v>93</v>
      </c>
      <c r="EB44" s="369" t="s">
        <v>93</v>
      </c>
      <c r="EC44" s="369" t="s">
        <v>93</v>
      </c>
      <c r="ED44" s="2032" t="s">
        <v>93</v>
      </c>
      <c r="EE44" s="369" t="s">
        <v>93</v>
      </c>
      <c r="EF44" s="369" t="s">
        <v>93</v>
      </c>
      <c r="EG44" s="369" t="s">
        <v>93</v>
      </c>
      <c r="EH44" s="369" t="s">
        <v>93</v>
      </c>
      <c r="EI44" s="2032" t="s">
        <v>93</v>
      </c>
    </row>
    <row r="45" ht="18.75" customHeight="1">
      <c r="A45" s="158"/>
      <c r="B45" s="166" t="s">
        <v>47</v>
      </c>
      <c r="C45" s="167" t="s">
        <v>48</v>
      </c>
      <c r="D45" s="369" t="s">
        <v>118</v>
      </c>
      <c r="E45" s="369" t="s">
        <v>118</v>
      </c>
      <c r="F45" s="369" t="s">
        <v>118</v>
      </c>
      <c r="G45" s="369" t="s">
        <v>118</v>
      </c>
      <c r="H45" s="369" t="s">
        <v>118</v>
      </c>
      <c r="I45" s="2032" t="s">
        <v>118</v>
      </c>
      <c r="J45" s="369" t="s">
        <v>118</v>
      </c>
      <c r="K45" s="369" t="s">
        <v>118</v>
      </c>
      <c r="L45" s="369" t="s">
        <v>118</v>
      </c>
      <c r="M45" s="369" t="s">
        <v>118</v>
      </c>
      <c r="N45" s="369" t="s">
        <v>118</v>
      </c>
      <c r="O45" s="2032" t="s">
        <v>118</v>
      </c>
      <c r="P45" s="369" t="s">
        <v>118</v>
      </c>
      <c r="Q45" s="369" t="s">
        <v>118</v>
      </c>
      <c r="R45" s="369" t="s">
        <v>118</v>
      </c>
      <c r="S45" s="369" t="s">
        <v>118</v>
      </c>
      <c r="T45" s="369" t="s">
        <v>118</v>
      </c>
      <c r="U45" s="369" t="s">
        <v>118</v>
      </c>
      <c r="V45" s="369" t="s">
        <v>118</v>
      </c>
      <c r="W45" s="2032" t="s">
        <v>118</v>
      </c>
      <c r="X45" s="369" t="s">
        <v>118</v>
      </c>
      <c r="Y45" s="369" t="s">
        <v>118</v>
      </c>
      <c r="Z45" s="369" t="s">
        <v>118</v>
      </c>
      <c r="AA45" s="369" t="s">
        <v>118</v>
      </c>
      <c r="AB45" s="369" t="s">
        <v>118</v>
      </c>
      <c r="AC45" s="369" t="s">
        <v>118</v>
      </c>
      <c r="AD45" s="2032" t="s">
        <v>118</v>
      </c>
      <c r="AE45" s="369" t="s">
        <v>118</v>
      </c>
      <c r="AF45" s="369" t="s">
        <v>118</v>
      </c>
      <c r="AG45" s="369" t="s">
        <v>118</v>
      </c>
      <c r="AH45" s="369" t="s">
        <v>118</v>
      </c>
      <c r="AI45" s="369" t="s">
        <v>118</v>
      </c>
      <c r="AJ45" s="369" t="s">
        <v>118</v>
      </c>
      <c r="AK45" s="369" t="s">
        <v>118</v>
      </c>
      <c r="AL45" s="369" t="s">
        <v>118</v>
      </c>
      <c r="AM45" s="2032" t="s">
        <v>118</v>
      </c>
      <c r="AN45" s="369" t="s">
        <v>1703</v>
      </c>
      <c r="AO45" s="369" t="s">
        <v>1702</v>
      </c>
      <c r="AP45" s="2033" t="s">
        <v>1702</v>
      </c>
      <c r="AQ45" s="2033" t="s">
        <v>1703</v>
      </c>
      <c r="AR45" s="2033" t="s">
        <v>1702</v>
      </c>
      <c r="AS45" s="2033" t="s">
        <v>1702</v>
      </c>
      <c r="AT45" s="2033" t="s">
        <v>1702</v>
      </c>
      <c r="AU45" s="2033" t="s">
        <v>1703</v>
      </c>
      <c r="AV45" s="2034" t="s">
        <v>1703</v>
      </c>
      <c r="AW45" s="2033" t="s">
        <v>1702</v>
      </c>
      <c r="AX45" s="2033" t="s">
        <v>1702</v>
      </c>
      <c r="AY45" s="2033" t="s">
        <v>1702</v>
      </c>
      <c r="AZ45" s="2033" t="s">
        <v>1702</v>
      </c>
      <c r="BA45" s="2033" t="s">
        <v>1702</v>
      </c>
      <c r="BB45" s="2033" t="s">
        <v>1702</v>
      </c>
      <c r="BC45" s="2034" t="s">
        <v>1702</v>
      </c>
      <c r="BD45" s="2033" t="s">
        <v>91</v>
      </c>
      <c r="BE45" s="2033" t="s">
        <v>92</v>
      </c>
      <c r="BF45" s="2033" t="s">
        <v>91</v>
      </c>
      <c r="BG45" s="2033" t="s">
        <v>92</v>
      </c>
      <c r="BH45" s="2033" t="s">
        <v>92</v>
      </c>
      <c r="BI45" s="2033" t="s">
        <v>92</v>
      </c>
      <c r="BJ45" s="2033" t="s">
        <v>91</v>
      </c>
      <c r="BK45" s="2033" t="s">
        <v>91</v>
      </c>
      <c r="BL45" s="2033" t="s">
        <v>91</v>
      </c>
      <c r="BM45" s="2033" t="s">
        <v>91</v>
      </c>
      <c r="BN45" s="2033" t="s">
        <v>91</v>
      </c>
      <c r="BO45" s="2033" t="s">
        <v>91</v>
      </c>
      <c r="BP45" s="2033" t="s">
        <v>91</v>
      </c>
      <c r="BQ45" s="2032" t="s">
        <v>92</v>
      </c>
      <c r="BR45" s="2050" t="s">
        <v>91</v>
      </c>
      <c r="BS45" s="2051" t="s">
        <v>92</v>
      </c>
      <c r="BT45" s="2051" t="s">
        <v>91</v>
      </c>
      <c r="BU45" s="2051" t="s">
        <v>92</v>
      </c>
      <c r="BV45" s="2051" t="s">
        <v>92</v>
      </c>
      <c r="BW45" s="2063" t="s">
        <v>117</v>
      </c>
      <c r="BX45" s="2051" t="s">
        <v>91</v>
      </c>
      <c r="BY45" s="2051" t="s">
        <v>91</v>
      </c>
      <c r="BZ45" s="2051" t="s">
        <v>92</v>
      </c>
      <c r="CA45" s="2051" t="s">
        <v>91</v>
      </c>
      <c r="CB45" s="2051" t="s">
        <v>91</v>
      </c>
      <c r="CC45" s="2052" t="s">
        <v>92</v>
      </c>
      <c r="CD45" s="2033" t="s">
        <v>92</v>
      </c>
      <c r="CE45" s="2033" t="s">
        <v>1702</v>
      </c>
      <c r="CF45" s="2033" t="s">
        <v>1702</v>
      </c>
      <c r="CG45" s="2033" t="s">
        <v>1703</v>
      </c>
      <c r="CH45" s="2033" t="s">
        <v>1703</v>
      </c>
      <c r="CI45" s="2033" t="s">
        <v>1702</v>
      </c>
      <c r="CJ45" s="2033" t="s">
        <v>1702</v>
      </c>
      <c r="CK45" s="2100" t="s">
        <v>117</v>
      </c>
      <c r="CL45" s="2033" t="s">
        <v>1703</v>
      </c>
      <c r="CM45" s="2038" t="s">
        <v>91</v>
      </c>
      <c r="CN45" s="2039" t="s">
        <v>91</v>
      </c>
      <c r="CO45" s="2039" t="s">
        <v>91</v>
      </c>
      <c r="CP45" s="2064" t="s">
        <v>92</v>
      </c>
      <c r="CQ45" s="2039" t="s">
        <v>91</v>
      </c>
      <c r="CR45" s="2062" t="s">
        <v>91</v>
      </c>
      <c r="CS45" s="369" t="s">
        <v>91</v>
      </c>
      <c r="CT45" s="369" t="s">
        <v>91</v>
      </c>
      <c r="CU45" s="369" t="s">
        <v>92</v>
      </c>
      <c r="CV45" s="369" t="s">
        <v>92</v>
      </c>
      <c r="CW45" s="369" t="s">
        <v>117</v>
      </c>
      <c r="CX45" s="369" t="s">
        <v>92</v>
      </c>
      <c r="CY45" s="2032" t="s">
        <v>92</v>
      </c>
      <c r="CZ45" s="369" t="s">
        <v>91</v>
      </c>
      <c r="DA45" s="369" t="s">
        <v>91</v>
      </c>
      <c r="DB45" s="369" t="s">
        <v>91</v>
      </c>
      <c r="DC45" s="369" t="s">
        <v>92</v>
      </c>
      <c r="DD45" s="369" t="s">
        <v>91</v>
      </c>
      <c r="DE45" s="369" t="s">
        <v>91</v>
      </c>
      <c r="DF45" s="369" t="s">
        <v>91</v>
      </c>
      <c r="DG45" s="2032" t="s">
        <v>91</v>
      </c>
      <c r="DH45" s="369" t="s">
        <v>91</v>
      </c>
      <c r="DI45" s="2041" t="s">
        <v>91</v>
      </c>
      <c r="DJ45" s="369" t="s">
        <v>91</v>
      </c>
      <c r="DK45" s="369" t="s">
        <v>91</v>
      </c>
      <c r="DL45" s="2032" t="s">
        <v>91</v>
      </c>
      <c r="DM45" s="369" t="s">
        <v>93</v>
      </c>
      <c r="DN45" s="369" t="s">
        <v>93</v>
      </c>
      <c r="DO45" s="369" t="s">
        <v>93</v>
      </c>
      <c r="DP45" s="2032" t="s">
        <v>93</v>
      </c>
      <c r="DQ45" s="369" t="s">
        <v>93</v>
      </c>
      <c r="DR45" s="369" t="s">
        <v>93</v>
      </c>
      <c r="DS45" s="2032" t="s">
        <v>93</v>
      </c>
      <c r="DT45" s="369" t="s">
        <v>91</v>
      </c>
      <c r="DU45" s="369" t="s">
        <v>91</v>
      </c>
      <c r="DV45" s="369" t="s">
        <v>92</v>
      </c>
      <c r="DW45" s="369" t="s">
        <v>92</v>
      </c>
      <c r="DX45" s="2032" t="s">
        <v>92</v>
      </c>
      <c r="DY45" s="369" t="s">
        <v>92</v>
      </c>
      <c r="DZ45" s="369" t="s">
        <v>91</v>
      </c>
      <c r="EA45" s="369" t="s">
        <v>92</v>
      </c>
      <c r="EB45" s="369" t="s">
        <v>91</v>
      </c>
      <c r="EC45" s="369" t="s">
        <v>91</v>
      </c>
      <c r="ED45" s="2032" t="s">
        <v>91</v>
      </c>
      <c r="EE45" s="2074" t="s">
        <v>92</v>
      </c>
      <c r="EF45" s="2043" t="s">
        <v>92</v>
      </c>
      <c r="EG45" s="2044" t="s">
        <v>91</v>
      </c>
      <c r="EH45" s="2044" t="s">
        <v>91</v>
      </c>
      <c r="EI45" s="2045" t="s">
        <v>91</v>
      </c>
    </row>
    <row r="46" ht="18.75" customHeight="1">
      <c r="A46" s="158"/>
      <c r="B46" s="135"/>
      <c r="C46" s="167" t="s">
        <v>201</v>
      </c>
      <c r="D46" s="2054" t="s">
        <v>118</v>
      </c>
      <c r="E46" s="2054" t="s">
        <v>118</v>
      </c>
      <c r="F46" s="2054" t="s">
        <v>118</v>
      </c>
      <c r="G46" s="2054" t="s">
        <v>118</v>
      </c>
      <c r="H46" s="2054" t="s">
        <v>118</v>
      </c>
      <c r="I46" s="2055" t="s">
        <v>118</v>
      </c>
      <c r="J46" s="2054" t="s">
        <v>118</v>
      </c>
      <c r="K46" s="2054" t="s">
        <v>118</v>
      </c>
      <c r="L46" s="2054" t="s">
        <v>118</v>
      </c>
      <c r="M46" s="2054" t="s">
        <v>118</v>
      </c>
      <c r="N46" s="2054" t="s">
        <v>118</v>
      </c>
      <c r="O46" s="2055" t="s">
        <v>118</v>
      </c>
      <c r="P46" s="2054" t="s">
        <v>118</v>
      </c>
      <c r="Q46" s="2054" t="s">
        <v>118</v>
      </c>
      <c r="R46" s="2054" t="s">
        <v>118</v>
      </c>
      <c r="S46" s="2054" t="s">
        <v>118</v>
      </c>
      <c r="T46" s="2054" t="s">
        <v>118</v>
      </c>
      <c r="U46" s="2054" t="s">
        <v>118</v>
      </c>
      <c r="V46" s="2054" t="s">
        <v>118</v>
      </c>
      <c r="W46" s="2055" t="s">
        <v>118</v>
      </c>
      <c r="X46" s="2054" t="s">
        <v>118</v>
      </c>
      <c r="Y46" s="2054" t="s">
        <v>118</v>
      </c>
      <c r="Z46" s="2054" t="s">
        <v>118</v>
      </c>
      <c r="AA46" s="2054" t="s">
        <v>118</v>
      </c>
      <c r="AB46" s="2054" t="s">
        <v>118</v>
      </c>
      <c r="AC46" s="2054" t="s">
        <v>118</v>
      </c>
      <c r="AD46" s="2055" t="s">
        <v>118</v>
      </c>
      <c r="AE46" s="2054" t="s">
        <v>118</v>
      </c>
      <c r="AF46" s="2054" t="s">
        <v>118</v>
      </c>
      <c r="AG46" s="2054" t="s">
        <v>118</v>
      </c>
      <c r="AH46" s="2054" t="s">
        <v>118</v>
      </c>
      <c r="AI46" s="2054" t="s">
        <v>118</v>
      </c>
      <c r="AJ46" s="2054" t="s">
        <v>118</v>
      </c>
      <c r="AK46" s="2054" t="s">
        <v>118</v>
      </c>
      <c r="AL46" s="2054" t="s">
        <v>118</v>
      </c>
      <c r="AM46" s="2055" t="s">
        <v>118</v>
      </c>
      <c r="AN46" s="2054" t="s">
        <v>118</v>
      </c>
      <c r="AO46" s="2054" t="s">
        <v>118</v>
      </c>
      <c r="AP46" s="2054" t="s">
        <v>118</v>
      </c>
      <c r="AQ46" s="2054" t="s">
        <v>118</v>
      </c>
      <c r="AR46" s="2054" t="s">
        <v>118</v>
      </c>
      <c r="AS46" s="2054" t="s">
        <v>118</v>
      </c>
      <c r="AT46" s="2054" t="s">
        <v>118</v>
      </c>
      <c r="AU46" s="2054" t="s">
        <v>118</v>
      </c>
      <c r="AV46" s="2055" t="s">
        <v>118</v>
      </c>
      <c r="AW46" s="2054" t="s">
        <v>118</v>
      </c>
      <c r="AX46" s="2054" t="s">
        <v>118</v>
      </c>
      <c r="AY46" s="2054" t="s">
        <v>118</v>
      </c>
      <c r="AZ46" s="2054" t="s">
        <v>118</v>
      </c>
      <c r="BA46" s="2054" t="s">
        <v>118</v>
      </c>
      <c r="BB46" s="2054" t="s">
        <v>118</v>
      </c>
      <c r="BC46" s="2055" t="s">
        <v>118</v>
      </c>
      <c r="BD46" s="2054" t="s">
        <v>118</v>
      </c>
      <c r="BE46" s="2054" t="s">
        <v>118</v>
      </c>
      <c r="BF46" s="2054" t="s">
        <v>118</v>
      </c>
      <c r="BG46" s="2054" t="s">
        <v>118</v>
      </c>
      <c r="BH46" s="2054" t="s">
        <v>118</v>
      </c>
      <c r="BI46" s="2054" t="s">
        <v>118</v>
      </c>
      <c r="BJ46" s="2054" t="s">
        <v>118</v>
      </c>
      <c r="BK46" s="2054" t="s">
        <v>118</v>
      </c>
      <c r="BL46" s="2054" t="s">
        <v>118</v>
      </c>
      <c r="BM46" s="2054" t="s">
        <v>118</v>
      </c>
      <c r="BN46" s="2054" t="s">
        <v>118</v>
      </c>
      <c r="BO46" s="2054" t="s">
        <v>118</v>
      </c>
      <c r="BP46" s="2054" t="s">
        <v>118</v>
      </c>
      <c r="BQ46" s="2055" t="s">
        <v>118</v>
      </c>
      <c r="BR46" s="2054" t="s">
        <v>118</v>
      </c>
      <c r="BS46" s="2054" t="s">
        <v>118</v>
      </c>
      <c r="BT46" s="2054" t="s">
        <v>118</v>
      </c>
      <c r="BU46" s="2054" t="s">
        <v>118</v>
      </c>
      <c r="BV46" s="2054" t="s">
        <v>118</v>
      </c>
      <c r="BW46" s="2054" t="s">
        <v>118</v>
      </c>
      <c r="BX46" s="2054" t="s">
        <v>118</v>
      </c>
      <c r="BY46" s="2054" t="s">
        <v>118</v>
      </c>
      <c r="BZ46" s="2054" t="s">
        <v>118</v>
      </c>
      <c r="CA46" s="2054" t="s">
        <v>118</v>
      </c>
      <c r="CB46" s="2054" t="s">
        <v>118</v>
      </c>
      <c r="CC46" s="2055" t="s">
        <v>118</v>
      </c>
      <c r="CD46" s="2054" t="s">
        <v>118</v>
      </c>
      <c r="CE46" s="2054" t="s">
        <v>118</v>
      </c>
      <c r="CF46" s="2054" t="s">
        <v>118</v>
      </c>
      <c r="CG46" s="2054" t="s">
        <v>118</v>
      </c>
      <c r="CH46" s="2054" t="s">
        <v>118</v>
      </c>
      <c r="CI46" s="2054" t="s">
        <v>118</v>
      </c>
      <c r="CJ46" s="2054" t="s">
        <v>118</v>
      </c>
      <c r="CK46" s="2054" t="s">
        <v>118</v>
      </c>
      <c r="CL46" s="2055" t="s">
        <v>118</v>
      </c>
      <c r="CM46" s="2053" t="s">
        <v>118</v>
      </c>
      <c r="CN46" s="2054" t="s">
        <v>118</v>
      </c>
      <c r="CO46" s="2054" t="s">
        <v>118</v>
      </c>
      <c r="CP46" s="2054" t="s">
        <v>118</v>
      </c>
      <c r="CQ46" s="2054" t="s">
        <v>118</v>
      </c>
      <c r="CR46" s="2055" t="s">
        <v>118</v>
      </c>
      <c r="CS46" s="2054" t="s">
        <v>118</v>
      </c>
      <c r="CT46" s="2054" t="s">
        <v>118</v>
      </c>
      <c r="CU46" s="2054" t="s">
        <v>118</v>
      </c>
      <c r="CV46" s="2054" t="s">
        <v>118</v>
      </c>
      <c r="CW46" s="2054" t="s">
        <v>118</v>
      </c>
      <c r="CX46" s="2054" t="s">
        <v>118</v>
      </c>
      <c r="CY46" s="2055" t="s">
        <v>118</v>
      </c>
      <c r="CZ46" s="2057" t="s">
        <v>93</v>
      </c>
      <c r="DA46" s="2057" t="s">
        <v>93</v>
      </c>
      <c r="DB46" s="2057" t="s">
        <v>93</v>
      </c>
      <c r="DC46" s="2057" t="s">
        <v>93</v>
      </c>
      <c r="DD46" s="2057" t="s">
        <v>93</v>
      </c>
      <c r="DE46" s="2057" t="s">
        <v>93</v>
      </c>
      <c r="DF46" s="2057" t="s">
        <v>93</v>
      </c>
      <c r="DG46" s="2058" t="s">
        <v>93</v>
      </c>
      <c r="DH46" s="2057" t="s">
        <v>93</v>
      </c>
      <c r="DI46" s="2057" t="s">
        <v>93</v>
      </c>
      <c r="DJ46" s="2057" t="s">
        <v>93</v>
      </c>
      <c r="DK46" s="2057" t="s">
        <v>93</v>
      </c>
      <c r="DL46" s="2058" t="s">
        <v>93</v>
      </c>
      <c r="DM46" s="2057" t="s">
        <v>92</v>
      </c>
      <c r="DN46" s="2057" t="s">
        <v>92</v>
      </c>
      <c r="DO46" s="2057" t="s">
        <v>92</v>
      </c>
      <c r="DP46" s="2058" t="s">
        <v>92</v>
      </c>
      <c r="DQ46" s="2057" t="s">
        <v>93</v>
      </c>
      <c r="DR46" s="2057" t="s">
        <v>93</v>
      </c>
      <c r="DS46" s="2058" t="s">
        <v>93</v>
      </c>
      <c r="DT46" s="369" t="s">
        <v>91</v>
      </c>
      <c r="DU46" s="369" t="s">
        <v>91</v>
      </c>
      <c r="DV46" s="369" t="s">
        <v>92</v>
      </c>
      <c r="DW46" s="369" t="s">
        <v>92</v>
      </c>
      <c r="DX46" s="2032" t="s">
        <v>92</v>
      </c>
      <c r="DY46" s="2057" t="s">
        <v>93</v>
      </c>
      <c r="DZ46" s="2057" t="s">
        <v>93</v>
      </c>
      <c r="EA46" s="2057" t="s">
        <v>93</v>
      </c>
      <c r="EB46" s="2057" t="s">
        <v>93</v>
      </c>
      <c r="EC46" s="2057" t="s">
        <v>93</v>
      </c>
      <c r="ED46" s="2058" t="s">
        <v>93</v>
      </c>
      <c r="EE46" s="369" t="s">
        <v>93</v>
      </c>
      <c r="EF46" s="369" t="s">
        <v>93</v>
      </c>
      <c r="EG46" s="369" t="s">
        <v>93</v>
      </c>
      <c r="EH46" s="369" t="s">
        <v>93</v>
      </c>
      <c r="EI46" s="2032" t="s">
        <v>93</v>
      </c>
    </row>
    <row r="47" ht="18.75" customHeight="1">
      <c r="A47" s="191"/>
      <c r="B47" s="183" t="s">
        <v>115</v>
      </c>
      <c r="C47" s="184" t="s">
        <v>116</v>
      </c>
      <c r="D47" s="369" t="s">
        <v>91</v>
      </c>
      <c r="E47" s="2101" t="s">
        <v>117</v>
      </c>
      <c r="F47" s="2101" t="s">
        <v>117</v>
      </c>
      <c r="G47" s="2101" t="s">
        <v>117</v>
      </c>
      <c r="H47" s="2101" t="s">
        <v>117</v>
      </c>
      <c r="I47" s="2102" t="s">
        <v>61</v>
      </c>
      <c r="J47" s="369" t="s">
        <v>117</v>
      </c>
      <c r="K47" s="369" t="s">
        <v>117</v>
      </c>
      <c r="L47" s="2103" t="s">
        <v>117</v>
      </c>
      <c r="M47" s="369" t="s">
        <v>117</v>
      </c>
      <c r="N47" s="369" t="s">
        <v>117</v>
      </c>
      <c r="O47" s="2032" t="s">
        <v>117</v>
      </c>
      <c r="P47" s="2049" t="s">
        <v>117</v>
      </c>
      <c r="Q47" s="369" t="s">
        <v>117</v>
      </c>
      <c r="R47" s="369" t="s">
        <v>117</v>
      </c>
      <c r="S47" s="369" t="s">
        <v>117</v>
      </c>
      <c r="T47" s="369" t="s">
        <v>117</v>
      </c>
      <c r="U47" s="369" t="s">
        <v>91</v>
      </c>
      <c r="V47" s="369" t="s">
        <v>117</v>
      </c>
      <c r="W47" s="2032" t="s">
        <v>117</v>
      </c>
      <c r="X47" s="2103" t="s">
        <v>117</v>
      </c>
      <c r="Y47" s="369" t="s">
        <v>117</v>
      </c>
      <c r="Z47" s="369" t="s">
        <v>117</v>
      </c>
      <c r="AA47" s="2103" t="s">
        <v>91</v>
      </c>
      <c r="AB47" s="369" t="s">
        <v>117</v>
      </c>
      <c r="AC47" s="369" t="s">
        <v>117</v>
      </c>
      <c r="AD47" s="2032" t="s">
        <v>117</v>
      </c>
      <c r="AE47" s="2103" t="s">
        <v>117</v>
      </c>
      <c r="AF47" s="369" t="s">
        <v>92</v>
      </c>
      <c r="AG47" s="369" t="s">
        <v>117</v>
      </c>
      <c r="AH47" s="2103" t="s">
        <v>117</v>
      </c>
      <c r="AI47" s="369" t="s">
        <v>91</v>
      </c>
      <c r="AJ47" s="369" t="s">
        <v>117</v>
      </c>
      <c r="AK47" s="2103" t="s">
        <v>117</v>
      </c>
      <c r="AL47" s="2103" t="s">
        <v>117</v>
      </c>
      <c r="AM47" s="2032" t="s">
        <v>117</v>
      </c>
      <c r="AN47" s="2103" t="s">
        <v>117</v>
      </c>
      <c r="AO47" s="2103" t="s">
        <v>117</v>
      </c>
      <c r="AP47" s="2103" t="s">
        <v>117</v>
      </c>
      <c r="AQ47" s="2103" t="s">
        <v>117</v>
      </c>
      <c r="AR47" s="2103" t="s">
        <v>117</v>
      </c>
      <c r="AS47" s="2103" t="s">
        <v>117</v>
      </c>
      <c r="AT47" s="2103" t="s">
        <v>117</v>
      </c>
      <c r="AU47" s="2103" t="s">
        <v>117</v>
      </c>
      <c r="AV47" s="2104" t="s">
        <v>1702</v>
      </c>
      <c r="AW47" s="2105" t="s">
        <v>117</v>
      </c>
      <c r="AX47" s="2106" t="s">
        <v>117</v>
      </c>
      <c r="AY47" s="2106" t="s">
        <v>117</v>
      </c>
      <c r="AZ47" s="2103" t="s">
        <v>1703</v>
      </c>
      <c r="BA47" s="2106" t="s">
        <v>117</v>
      </c>
      <c r="BB47" s="2106" t="s">
        <v>117</v>
      </c>
      <c r="BC47" s="2107" t="s">
        <v>117</v>
      </c>
      <c r="BD47" s="2108" t="s">
        <v>117</v>
      </c>
      <c r="BE47" s="2100" t="s">
        <v>117</v>
      </c>
      <c r="BF47" s="2100" t="s">
        <v>117</v>
      </c>
      <c r="BG47" s="2100" t="s">
        <v>117</v>
      </c>
      <c r="BH47" s="2100" t="s">
        <v>117</v>
      </c>
      <c r="BI47" s="2100" t="s">
        <v>117</v>
      </c>
      <c r="BJ47" s="2100" t="s">
        <v>117</v>
      </c>
      <c r="BK47" s="2100" t="s">
        <v>117</v>
      </c>
      <c r="BL47" s="2100" t="s">
        <v>117</v>
      </c>
      <c r="BM47" s="2100" t="s">
        <v>117</v>
      </c>
      <c r="BN47" s="2100" t="s">
        <v>117</v>
      </c>
      <c r="BO47" s="2100" t="s">
        <v>117</v>
      </c>
      <c r="BP47" s="2100" t="s">
        <v>91</v>
      </c>
      <c r="BQ47" s="2109" t="s">
        <v>117</v>
      </c>
      <c r="BR47" s="2110" t="s">
        <v>117</v>
      </c>
      <c r="BS47" s="2111" t="s">
        <v>117</v>
      </c>
      <c r="BT47" s="2111" t="s">
        <v>117</v>
      </c>
      <c r="BU47" s="2111" t="s">
        <v>117</v>
      </c>
      <c r="BV47" s="2111" t="s">
        <v>117</v>
      </c>
      <c r="BW47" s="2111" t="s">
        <v>117</v>
      </c>
      <c r="BX47" s="2111" t="s">
        <v>117</v>
      </c>
      <c r="BY47" s="2111" t="s">
        <v>117</v>
      </c>
      <c r="BZ47" s="2112" t="s">
        <v>91</v>
      </c>
      <c r="CA47" s="2111" t="s">
        <v>117</v>
      </c>
      <c r="CB47" s="2111" t="s">
        <v>117</v>
      </c>
      <c r="CC47" s="2113" t="s">
        <v>91</v>
      </c>
      <c r="CD47" s="2106" t="s">
        <v>117</v>
      </c>
      <c r="CE47" s="2106" t="s">
        <v>117</v>
      </c>
      <c r="CF47" s="2106" t="s">
        <v>117</v>
      </c>
      <c r="CG47" s="2106" t="s">
        <v>117</v>
      </c>
      <c r="CH47" s="2106" t="s">
        <v>117</v>
      </c>
      <c r="CI47" s="2106" t="s">
        <v>117</v>
      </c>
      <c r="CJ47" s="2106" t="s">
        <v>117</v>
      </c>
      <c r="CK47" s="2106" t="s">
        <v>117</v>
      </c>
      <c r="CL47" s="2106" t="s">
        <v>117</v>
      </c>
      <c r="CM47" s="2110" t="s">
        <v>117</v>
      </c>
      <c r="CN47" s="2111" t="s">
        <v>117</v>
      </c>
      <c r="CO47" s="2111" t="s">
        <v>117</v>
      </c>
      <c r="CP47" s="2111" t="s">
        <v>117</v>
      </c>
      <c r="CQ47" s="2111" t="s">
        <v>117</v>
      </c>
      <c r="CR47" s="2114" t="s">
        <v>117</v>
      </c>
      <c r="CS47" s="2106" t="s">
        <v>117</v>
      </c>
      <c r="CT47" s="2106" t="s">
        <v>117</v>
      </c>
      <c r="CU47" s="2106" t="s">
        <v>117</v>
      </c>
      <c r="CV47" s="2106" t="s">
        <v>117</v>
      </c>
      <c r="CW47" s="2106" t="s">
        <v>117</v>
      </c>
      <c r="CX47" s="2106" t="s">
        <v>117</v>
      </c>
      <c r="CY47" s="2107" t="s">
        <v>117</v>
      </c>
      <c r="CZ47" s="2106" t="s">
        <v>117</v>
      </c>
      <c r="DA47" s="2100" t="s">
        <v>117</v>
      </c>
      <c r="DB47" s="2100" t="s">
        <v>117</v>
      </c>
      <c r="DC47" s="2100" t="s">
        <v>117</v>
      </c>
      <c r="DD47" s="2100" t="s">
        <v>117</v>
      </c>
      <c r="DE47" s="2100" t="s">
        <v>117</v>
      </c>
      <c r="DF47" s="2100" t="s">
        <v>117</v>
      </c>
      <c r="DG47" s="2109" t="s">
        <v>117</v>
      </c>
      <c r="DH47" s="2100" t="s">
        <v>117</v>
      </c>
      <c r="DI47" s="2100" t="s">
        <v>117</v>
      </c>
      <c r="DJ47" s="2100" t="s">
        <v>117</v>
      </c>
      <c r="DK47" s="2100" t="s">
        <v>117</v>
      </c>
      <c r="DL47" s="2109" t="s">
        <v>117</v>
      </c>
      <c r="DM47" s="2100" t="s">
        <v>117</v>
      </c>
      <c r="DN47" s="2100" t="s">
        <v>91</v>
      </c>
      <c r="DO47" s="2100" t="s">
        <v>117</v>
      </c>
      <c r="DP47" s="2109" t="s">
        <v>117</v>
      </c>
      <c r="DQ47" s="2100" t="s">
        <v>117</v>
      </c>
      <c r="DR47" s="2100" t="s">
        <v>117</v>
      </c>
      <c r="DS47" s="2109" t="s">
        <v>117</v>
      </c>
      <c r="DT47" s="369" t="s">
        <v>92</v>
      </c>
      <c r="DU47" s="369" t="s">
        <v>117</v>
      </c>
      <c r="DV47" s="369" t="s">
        <v>91</v>
      </c>
      <c r="DW47" s="369" t="s">
        <v>117</v>
      </c>
      <c r="DX47" s="2032" t="s">
        <v>117</v>
      </c>
      <c r="DY47" s="369" t="s">
        <v>117</v>
      </c>
      <c r="DZ47" s="369" t="s">
        <v>117</v>
      </c>
      <c r="EA47" s="369" t="s">
        <v>117</v>
      </c>
      <c r="EB47" s="369" t="s">
        <v>91</v>
      </c>
      <c r="EC47" s="369" t="s">
        <v>117</v>
      </c>
      <c r="ED47" s="2032" t="s">
        <v>117</v>
      </c>
      <c r="EE47" s="369" t="s">
        <v>117</v>
      </c>
      <c r="EF47" s="369" t="s">
        <v>117</v>
      </c>
      <c r="EG47" s="369" t="s">
        <v>117</v>
      </c>
      <c r="EH47" s="369" t="s">
        <v>91</v>
      </c>
      <c r="EI47" s="2032" t="s">
        <v>117</v>
      </c>
    </row>
    <row r="48" ht="11.25" customHeight="1">
      <c r="A48" s="2115"/>
      <c r="B48" s="2116"/>
      <c r="C48" s="2116"/>
      <c r="D48" s="2117" t="str">
        <f t="shared" ref="D48:BD48" si="7">CONCATENATE("{""status"": ", IF(GT(D49, D50), """aangenomen""", """verworpen"""), ", ""title"": """, D5, """, ""url"": """,D29  , """, ""voor"":", D49,", ""tegen"": ", D50, ", ""onthouden"":", D51, "}")</f>
        <v>{"status": "aangenomen", "title": "M0149", "url": "https://reddit.com/r/RMTK/comments/ftq0uh", "voor":14, "tegen": 8, "onthouden":0}</v>
      </c>
      <c r="E48" s="2117" t="str">
        <f t="shared" si="7"/>
        <v>{"status": "aangenomen", "title": "M0150", "url": "https://reddit.com/r/RMTK/comments/fu5pcf", "voor":16, "tegen": 5, "onthouden":1}</v>
      </c>
      <c r="F48" s="2117" t="str">
        <f t="shared" si="7"/>
        <v>{"status": "aangenomen", "title": "W0075", "url": "https://reddit.com/r/RMTK/comments/frul6g", "voor":21, "tegen": 0, "onthouden":1}</v>
      </c>
      <c r="G48" s="2117" t="str">
        <f t="shared" si="7"/>
        <v>{"status": "aangenomen", "title": "W0077", "url": "https://reddit.com/r/RMTK/comments/ft3no2", "voor":21, "tegen": 0, "onthouden":1}</v>
      </c>
      <c r="H48" s="2117" t="str">
        <f t="shared" si="7"/>
        <v>{"status": "aangenomen", "title": "W0078", "url": "https://reddit.com/r/RMTK/comments/fur4rn", "voor":18, "tegen": 3, "onthouden":1}</v>
      </c>
      <c r="I48" s="2117" t="str">
        <f t="shared" si="7"/>
        <v>{"status": "aangenomen", "title": "M0163", "url": "https://www.reddit.com/r/RMTK/comments/fyhsvd/stemming_tweede_kamer_over_m0163/", "voor":8, "tegen": 6, "onthouden":5}</v>
      </c>
      <c r="J48" s="2118" t="str">
        <f t="shared" si="7"/>
        <v>{"status": "verworpen", "title": "M0152", "url": "https://reddit.com/r/RMTK/comments/fvw34y", "voor":1, "tegen": 18, "onthouden":1}</v>
      </c>
      <c r="K48" s="2117" t="str">
        <f t="shared" si="7"/>
        <v>{"status": "verworpen", "title": "M0153", "url": "https://reddit.com/r/RMTK/comments/fx3ttl", "voor":4, "tegen": 15, "onthouden":1}</v>
      </c>
      <c r="L48" s="2117" t="str">
        <f t="shared" si="7"/>
        <v>{"status": "verworpen", "title": "M0154", "url": "https://reddit.com/r/RMTK/comments/fwa1h8", "voor":1, "tegen": 18, "onthouden":1}</v>
      </c>
      <c r="M48" s="2117" t="str">
        <f t="shared" si="7"/>
        <v>{"status": "aangenomen", "title": "W0076-I", "url": "https://reddit.com/r/RMTK/comments/fz9q6d", "voor":15, "tegen": 4, "onthouden":1}</v>
      </c>
      <c r="N48" s="2117" t="str">
        <f t="shared" si="7"/>
        <v>{"status": "aangenomen", "title": "W0079", "url": "https://reddit.com/r/RMTK/comments/fwhw8q", "voor":11, "tegen": 8, "onthouden":1}</v>
      </c>
      <c r="O48" s="2117" t="str">
        <f t="shared" si="7"/>
        <v>{"status": "verworpen", "title": "W0080", "url": "https://reddit.com/r/RMTK/comments/fx3ttg", "voor":4, "tegen": 15, "onthouden":1}</v>
      </c>
      <c r="P48" s="2118" t="str">
        <f t="shared" si="7"/>
        <v>{"status": "verworpen", "title": "M0155", "url": "https://www.reddit.com/r/RMTK/comments/fxpsug/m0155_motie_tot_hernoeming_flevoland_of_lelystad/", "voor":0, "tegen": 21, "onthouden":1}</v>
      </c>
      <c r="Q48" s="2117" t="str">
        <f t="shared" si="7"/>
        <v>{"status": "verworpen", "title": "M0156", "url": "https://www.reddit.com/r/RMTK/comments/fxhwmu/m0156_motie_tot_jaarlijkse_cursus/", "voor":8, "tegen": 13, "onthouden":1}</v>
      </c>
      <c r="R48" s="2117" t="str">
        <f t="shared" si="7"/>
        <v>{"status": "verworpen", "title": "M0157", "url": "https://www.reddit.com/r/RMTK/comments/fz3pfj/m0157_motie_tot_spelende_kinderen_blij_maken/", "voor":3, "tegen": 18, "onthouden":1}</v>
      </c>
      <c r="S48" s="2117" t="str">
        <f t="shared" si="7"/>
        <v>{"status": "verworpen", "title": "M0158", "url": "", "voor":3, "tegen": 18, "onthouden":1}</v>
      </c>
      <c r="T48" s="2117" t="str">
        <f t="shared" si="7"/>
        <v>{"status": "aangenomen", "title": "W0076", "url": "https://www.reddit.com/r/RMTK/comments/fsgnao/w0076_vaststelling_van_de_begrotingsstaat_van_het/", "voor":14, "tegen": 7, "onthouden":1}</v>
      </c>
      <c r="U48" s="2117" t="str">
        <f t="shared" si="7"/>
        <v>{"status": "aangenomen", "title": "W0081-I", "url": "https://www.reddit.com/r/RMTK/comments/g4o0o2/w0081i_amendement_tot_wijziging_van_de_wet_op/", "voor":17, "tegen": 5, "onthouden":0}</v>
      </c>
      <c r="V48" s="2117" t="str">
        <f t="shared" si="7"/>
        <v>{"status": "verworpen", "title": "W0082", "url": "https://www.reddit.com/r/RMTK/comments/g10sdl/w0082_wet_btwverhoging_vleesproducten_en/", "voor":7, "tegen": 14, "onthouden":1}</v>
      </c>
      <c r="W48" s="2117" t="str">
        <f t="shared" si="7"/>
        <v>{"status": "verworpen", "title": "W0084-I", "url": "https://www.reddit.com/r/RMTK/comments/g4ud01/w0084i_amendement_tot_wijziging_van_de_vlootwet/", "voor":9, "tegen": 12, "onthouden":1}</v>
      </c>
      <c r="X48" s="2118" t="str">
        <f t="shared" si="7"/>
        <v>{"status": "verworpen", "title": "M0159", "url": "https://www.reddit.com/r/RMTK/comments/g188en/m0159_motie_tot_uitleg_politieke_stromingen_in/", "voor":1, "tegen": 21, "onthouden":1}</v>
      </c>
      <c r="Y48" s="2117" t="str">
        <f t="shared" si="7"/>
        <v>{"status": "verworpen", "title": "M0160", "url": "https://www.reddit.com/r/RMTK/comments/g188dx/m0160_motie_tot_erkenning_van_taiwan_als/", "voor":6, "tegen": 15, "onthouden":2}</v>
      </c>
      <c r="Z48" s="2117" t="str">
        <f t="shared" si="7"/>
        <v>{"status": "aangenomen", "title": "M0161", "url": "https://www.reddit.com/r/RMTK/comments/g2gjt7/m0161_motie_tot_verhoging_salaris_militairen/", "voor":12, "tegen": 10, "onthouden":1}</v>
      </c>
      <c r="AA48" s="2117" t="str">
        <f t="shared" si="7"/>
        <v>{"status": "aangenomen", "title": "W0081", "url": "", "voor":15, "tegen": 8, "onthouden":0}</v>
      </c>
      <c r="AB48" s="2117" t="str">
        <f t="shared" si="7"/>
        <v>{"status": "aangenomen", "title": "W0083", "url": "https://www.reddit.com/r/RMTK/comments/g1mxke/w0083_wetswijziging_ter_afschaffing_automatisch/", "voor":21, "tegen": 1, "onthouden":1}</v>
      </c>
      <c r="AC48" s="2117" t="str">
        <f t="shared" si="7"/>
        <v>{"status": "verworpen", "title": "W0084", "url": "https://www.reddit.com/r/RMTK/comments/g2bf4w/w0084_vlootwet_2020/", "voor":6, "tegen": 15, "onthouden":2}</v>
      </c>
      <c r="AD48" s="2117" t="str">
        <f t="shared" si="7"/>
        <v>{"status": "aangenomen", "title": "W0085", "url": "https://www.reddit.com/r/RMTK/comments/g3jxay/w0085_wetswijziging_van_de_wet_op_de_kansspelen/", "voor":22, "tegen": 0, "onthouden":1}</v>
      </c>
      <c r="AE48" s="2118" t="str">
        <f t="shared" si="7"/>
        <v>{"status": "verworpen", "title": "M0162", "url": "https://reddit.com/r/RMTK/comments/g3pugv", "voor":5, "tegen": 15, "onthouden":1}</v>
      </c>
      <c r="AF48" s="2117" t="str">
        <f t="shared" si="7"/>
        <v>{"status": "verworpen", "title": "M0164", "url": "", "voor":1, "tegen": 20, "onthouden":0}</v>
      </c>
      <c r="AG48" s="2117" t="str">
        <f t="shared" si="7"/>
        <v>{"status": "aangenomen", "title": "M0165", "url": "https://reddit.com/r/RMTK/comments/g5wgvo", "voor":20, "tegen": 0, "onthouden":1}</v>
      </c>
      <c r="AH48" s="2117" t="str">
        <f t="shared" si="7"/>
        <v>{"status": "verworpen", "title": "M0166", "url": "https://reddit.com/r/RMTK/comments/g6m9by", "voor":8, "tegen": 10, "onthouden":3}</v>
      </c>
      <c r="AI48" s="2117" t="str">
        <f t="shared" si="7"/>
        <v>{"status": "aangenomen", "title": "M0178", "url": "https://reddit.com/r/RMTK/comments/gdb6s1", "voor":15, "tegen": 6, "onthouden":0}</v>
      </c>
      <c r="AJ48" s="2117" t="str">
        <f t="shared" si="7"/>
        <v>{"status": "aangenomen", "title": "W0086", "url": "https://reddit.com/r/RMTK/comments/g5aglx", "voor":15, "tegen": 5, "onthouden":1}</v>
      </c>
      <c r="AK48" s="2117" t="str">
        <f t="shared" si="7"/>
        <v>{"status": "aangenomen", "title": "W0087", "url": "https://reddit.com/r/RMTK/comments/g60qgw", "voor":14, "tegen": 6, "onthouden":1}</v>
      </c>
      <c r="AL48" s="2117" t="str">
        <f t="shared" si="7"/>
        <v>{"status": "aangenomen", "title": "W0090", "url": "https://reddit.com/r/RMTK/comments/gehwkg", "voor":20, "tegen": 0, "onthouden":1}</v>
      </c>
      <c r="AM48" s="2117" t="str">
        <f t="shared" si="7"/>
        <v>{"status": "aangenomen", "title": "W088-I", "url": "https://reddit.com/r/RMTK/comments/gc4mq7", "voor":20, "tegen": 0, "onthouden":1}</v>
      </c>
      <c r="AN48" s="2118" t="str">
        <f t="shared" si="7"/>
        <v>{"status": "aangenomen", "title": "M0167", "url": "https://www.reddit.com/r/RMTK/comments/g7t5gv/m0167_motie_tot_verbieden_participatieverklaring/", "voor":11, "tegen": 4, "onthouden":1}</v>
      </c>
      <c r="AO48" s="2117" t="str">
        <f t="shared" si="7"/>
        <v>{"status": "aangenomen", "title": "W0089", "url": "https://www.reddit.com/r/RMTK/comments/g9mrib", "voor":14, "tegen": 2, "onthouden":1}</v>
      </c>
      <c r="AP48" s="2117" t="str">
        <f t="shared" si="7"/>
        <v>{"status": "aangenomen", "title": "M0168", "url": "", "voor":13, "tegen": 3, "onthouden":1}</v>
      </c>
      <c r="AQ48" s="2117" t="str">
        <f t="shared" si="7"/>
        <v>{"status": "verworpen", "title": "M0169", "url": "", "voor":7, "tegen": 8, "onthouden":2}</v>
      </c>
      <c r="AR48" s="2117" t="str">
        <f t="shared" si="7"/>
        <v>{"status": "aangenomen", "title": "M0170", "url": "", "voor":15, "tegen": 1, "onthouden":1}</v>
      </c>
      <c r="AS48" s="2117" t="str">
        <f t="shared" si="7"/>
        <v>{"status": "aangenomen", "title": "W0088", "url": "", "voor":13, "tegen": 3, "onthouden":1}</v>
      </c>
      <c r="AT48" s="2117" t="str">
        <f t="shared" si="7"/>
        <v>{"status": "aangenomen", "title": "M0179", "url": "", "voor":11, "tegen": 5, "onthouden":1}</v>
      </c>
      <c r="AU48" s="2117" t="str">
        <f t="shared" si="7"/>
        <v>{"status": "verworpen", "title": "M0171", "url": "https://www.reddit.com/r/RMTK/comments/gf4gid/m0171_motie_tot_vak_belastingaangifte/", "voor":3, "tegen": 13, "onthouden":1}</v>
      </c>
      <c r="AV48" s="2117" t="str">
        <f t="shared" si="7"/>
        <v>{"status": "verworpen", "title": "M0182", "url": "https://www.reddit.com/r/RMTK/comments/ghu0dd/m0182_motie_van_wantrouwen_jegens_de_minister_van/", "voor":3, "tegen": 13, "onthouden":1}</v>
      </c>
      <c r="AW48" s="2118" t="str">
        <f t="shared" si="7"/>
        <v>{"status": "aangenomen", "title": "M0183", "url": "https://www.reddit.com/r/RMTK/comments/gkao3p/m0183_motie_tot_kwaliteit_bij_staatsrechtelijke/", "voor":14, "tegen": 5, "onthouden":1}</v>
      </c>
      <c r="AX48" s="2117" t="str">
        <f t="shared" si="7"/>
        <v>{"status": "aangenomen", "title": "M0172", "url": "https://reddit.com/r/RMTK/comments/gi92kk", "voor":16, "tegen": 4, "onthouden":1}</v>
      </c>
      <c r="AY48" s="2117" t="str">
        <f t="shared" si="7"/>
        <v>{"status": "aangenomen", "title": "M0180", "url": "https://reddit.com/r/RMTK/comments/gm7q2f", "voor":13, "tegen": 7, "onthouden":1}</v>
      </c>
      <c r="AZ48" s="2117" t="str">
        <f t="shared" si="7"/>
        <v>{"status": "verworpen", "title": "M0185", "url": "https://reddit.com/r/RMTK/comments/gn9d57", "voor":8, "tegen": 13, "onthouden":0}</v>
      </c>
      <c r="BA48" s="2117" t="str">
        <f t="shared" si="7"/>
        <v>{"status": "aangenomen", "title": "W0091", "url": "https://reddit.com/r/RMTK/comments/gfssqx", "voor":18, "tegen": 2, "onthouden":1}</v>
      </c>
      <c r="BB48" s="2117" t="str">
        <f t="shared" si="7"/>
        <v>{"status": "verworpen", "title": "W0092", "url": "https://reddit.com/r/RMTK/comments/ggf1z2", "voor":7, "tegen": 13, "onthouden":1}</v>
      </c>
      <c r="BC48" s="2117" t="str">
        <f t="shared" si="7"/>
        <v>{"status": "verworpen", "title": "W0093", "url": "https://reddit.com/r/RMTK/comments/ghp690", "voor":7, "tegen": 13, "onthouden":1}</v>
      </c>
      <c r="BD48" s="2118" t="str">
        <f t="shared" si="7"/>
        <v>{"status": "verworpen", "title": "M0173", "url": "", "voor":8, "tegen": 11, "onthouden":1}</v>
      </c>
      <c r="BE48" s="2117"/>
      <c r="BF48" s="2117"/>
      <c r="BG48" s="2117"/>
      <c r="BH48" s="2117"/>
      <c r="BI48" s="2117"/>
      <c r="BJ48" s="2117"/>
      <c r="BK48" s="2117" t="str">
        <f t="shared" ref="BK48:BQ48" si="8">CONCATENATE("{""status"": ", IF(GT(BK49, BK50), """aangenomen""", """verworpen"""), ", ""title"": """, BH5, """, ""url"": """,BJ29  , """, ""voor"":", BK49,", ""tegen"": ", BK50, ", ""onthouden"":", BK51, "}")</f>
        <v>#REF!</v>
      </c>
      <c r="BL48" s="2117" t="str">
        <f t="shared" si="8"/>
        <v>#REF!</v>
      </c>
      <c r="BM48" s="2117" t="str">
        <f t="shared" si="8"/>
        <v>#REF!</v>
      </c>
      <c r="BN48" s="2117" t="str">
        <f t="shared" si="8"/>
        <v>#REF!</v>
      </c>
      <c r="BO48" s="2117" t="str">
        <f t="shared" si="8"/>
        <v>#REF!</v>
      </c>
      <c r="BP48" s="2117" t="str">
        <f t="shared" si="8"/>
        <v>#REF!</v>
      </c>
      <c r="BQ48" s="2117" t="str">
        <f t="shared" si="8"/>
        <v>#REF!</v>
      </c>
      <c r="BR48" s="2118" t="str">
        <f t="shared" ref="BR48:CL48" si="9">CONCATENATE("{""status"": ", IF(GT(BR49, BR50), """aangenomen""", """verworpen"""), ", ""title"": """, BR5, """, ""url"": """,BR29  , """, ""voor"":", BR49,", ""tegen"": ", BR50, ", ""onthouden"":", BR51, "}")</f>
        <v>{"status": "aangenomen", "title": "M0184", "url": "", "voor":16, "tegen": 0, "onthouden":1}</v>
      </c>
      <c r="BS48" s="2117" t="str">
        <f t="shared" si="9"/>
        <v>{"status": "verworpen", "title": "M0186", "url": "", "voor":1, "tegen": 15, "onthouden":1}</v>
      </c>
      <c r="BT48" s="2117" t="str">
        <f t="shared" si="9"/>
        <v>{"status": "aangenomen", "title": "M0187", "url": "", "voor":10, "tegen": 6, "onthouden":1}</v>
      </c>
      <c r="BU48" s="2117" t="str">
        <f t="shared" si="9"/>
        <v>{"status": "verworpen", "title": "M0188", "url": "", "voor":8, "tegen": 8, "onthouden":1}</v>
      </c>
      <c r="BV48" s="2117" t="str">
        <f t="shared" si="9"/>
        <v>{"status": "aangenomen", "title": "M0189", "url": "", "voor":10, "tegen": 6, "onthouden":1}</v>
      </c>
      <c r="BW48" s="2117" t="str">
        <f t="shared" si="9"/>
        <v>{"status": "aangenomen", "title": "M0190", "url": "", "voor":11, "tegen": 4, "onthouden":2}</v>
      </c>
      <c r="BX48" s="2117" t="str">
        <f t="shared" si="9"/>
        <v>{"status": "aangenomen", "title": "M0195", "url": "", "voor":16, "tegen": 0, "onthouden":1}</v>
      </c>
      <c r="BY48" s="2117" t="str">
        <f t="shared" si="9"/>
        <v>{"status": "aangenomen", "title": "M0196", "url": "", "voor":13, "tegen": 3, "onthouden":1}</v>
      </c>
      <c r="BZ48" s="2117" t="str">
        <f t="shared" si="9"/>
        <v>{"status": "verworpen", "title": "M0197", "url": "", "voor":7, "tegen": 9, "onthouden":1}</v>
      </c>
      <c r="CA48" s="2117" t="str">
        <f t="shared" si="9"/>
        <v>{"status": "aangenomen", "title": "W0099", "url": "", "voor":15, "tegen": 0, "onthouden":2}</v>
      </c>
      <c r="CB48" s="2117" t="str">
        <f t="shared" si="9"/>
        <v>{"status": "aangenomen", "title": "W0100", "url": "", "voor":15, "tegen": 1, "onthouden":1}</v>
      </c>
      <c r="CC48" s="2119" t="str">
        <f t="shared" si="9"/>
        <v>{"status": "verworpen", "title": "W0101", "url": "", "voor":8, "tegen": 9, "onthouden":0}</v>
      </c>
      <c r="CD48" s="2118" t="str">
        <f t="shared" si="9"/>
        <v>{"status": "verworpen", "title": "M0191", "url": "", "voor":4, "tegen": 14, "onthouden":1}</v>
      </c>
      <c r="CE48" s="2117" t="str">
        <f t="shared" si="9"/>
        <v>{"status": "aangenomen", "title": "M0192", "url": "", "voor":10, "tegen": 8, "onthouden":1}</v>
      </c>
      <c r="CF48" s="2117" t="str">
        <f t="shared" si="9"/>
        <v>{"status": "aangenomen", "title": "M0193", "url": "", "voor":13, "tegen": 5, "onthouden":1}</v>
      </c>
      <c r="CG48" s="2117" t="str">
        <f t="shared" si="9"/>
        <v>{"status": "verworpen", "title": "M0198", "url": "", "voor":5, "tegen": 13, "onthouden":1}</v>
      </c>
      <c r="CH48" s="2117" t="str">
        <f t="shared" si="9"/>
        <v>{"status": "aangenomen", "title": "M0199", "url": "", "voor":13, "tegen": 5, "onthouden":1}</v>
      </c>
      <c r="CI48" s="2117" t="str">
        <f t="shared" si="9"/>
        <v>{"status": "verworpen", "title": "M0203", "url": "", "voor":5, "tegen": 12, "onthouden":2}</v>
      </c>
      <c r="CJ48" s="2117" t="str">
        <f t="shared" si="9"/>
        <v>{"status": "aangenomen", "title": "M0205", "url": "", "voor":18, "tegen": 0, "onthouden":1}</v>
      </c>
      <c r="CK48" s="2117" t="str">
        <f t="shared" si="9"/>
        <v>{"status": "aangenomen", "title": "M0206", "url": "", "voor":13, "tegen": 4, "onthouden":2}</v>
      </c>
      <c r="CL48" s="2117" t="str">
        <f t="shared" si="9"/>
        <v>{"status": "verworpen", "title": "W0103-I", "url": "", "voor":8, "tegen": 8, "onthouden":3}</v>
      </c>
      <c r="CM48" s="2118"/>
      <c r="CN48" s="2117"/>
      <c r="CO48" s="2117"/>
      <c r="CP48" s="2117"/>
      <c r="CQ48" s="2117"/>
      <c r="CR48" s="2119"/>
      <c r="CS48" s="2117" t="str">
        <f t="shared" ref="CS48:EI48" si="10">CONCATENATE("{""status"": ", IF(GT(CS49, CS50), """aangenomen""", """verworpen"""), ", ""title"": """, CS5, """, ""url"": """,CS29  , """, ""voor"":", CS49,", ""tegen"": ", CS50, ", ""onthouden"":", CS51, "}")</f>
        <v>{"status": "aangenomen", "title": "M0202", "url": "https://www.reddit.com/r/RMTK/comments/ha1tpn/m0202_motie_tot_intensivering_aanleg/", "voor":20, "tegen": 0, "onthouden":1}</v>
      </c>
      <c r="CT48" s="2117" t="str">
        <f t="shared" si="10"/>
        <v>{"status": "aangenomen", "title": "M0210", "url": "https://www.reddit.com/r/RMTK/comments/hd54xz/m0210_motie_tot_nauwere_militaire_samenwerking/", "voor":19, "tegen": 1, "onthouden":1}</v>
      </c>
      <c r="CU48" s="2117" t="str">
        <f t="shared" si="10"/>
        <v>{"status": "aangenomen", "title": "M0212", "url": "https://www.reddit.com/r/RMTK/comments/hckdcr/m0212_motie_tot_terugdraaiing_wet_passend/", "voor":15, "tegen": 5, "onthouden":1}</v>
      </c>
      <c r="CV48" s="2117" t="str">
        <f t="shared" si="10"/>
        <v>{"status": "aangenomen", "title": "M0213", "url": "", "voor":10, "tegen": 8, "onthouden":3}</v>
      </c>
      <c r="CW48" s="2117" t="str">
        <f t="shared" si="10"/>
        <v>{"status": "aangenomen", "title": "M0214", "url": "https://www.reddit.com/r/RMTK/comments/hdqade/m0214_motie_tot_onmiddelijke_verhoging/", "voor":13, "tegen": 6, "onthouden":2}</v>
      </c>
      <c r="CX48" s="2117" t="str">
        <f t="shared" si="10"/>
        <v>{"status": "aangenomen", "title": "M0215", "url": "", "voor":14, "tegen": 6, "onthouden":1}</v>
      </c>
      <c r="CY48" s="2119" t="str">
        <f t="shared" si="10"/>
        <v>{"status": "aangenomen", "title": "W0097", "url": "https://www.reddit.com/r/RMTK/comments/gnyh8p/w0097_wet_tot_invoering_dagboetes/", "voor":15, "tegen": 5, "onthouden":1}</v>
      </c>
      <c r="CZ48" s="2117" t="str">
        <f t="shared" si="10"/>
        <v>{"status": "aangenomen", "title": "M0201", "url": "https://reddit.com/r/RMTK/comments/h85hkh", "voor":18, "tegen": 0, "onthouden":1}</v>
      </c>
      <c r="DA48" s="2117" t="str">
        <f t="shared" si="10"/>
        <v>{"status": "aangenomen", "title": "M0209", "url": "https://reddit.com/r/RMTK/comments/hbmtfw", "voor":14, "tegen": 0, "onthouden":5}</v>
      </c>
      <c r="DB48" s="2117" t="str">
        <f t="shared" si="10"/>
        <v>{"status": "aangenomen", "title": "M0216", "url": "https://reddit.com/r/RMTK/comments/hhxu98", "voor":18, "tegen": 0, "onthouden":1}</v>
      </c>
      <c r="DC48" s="2117" t="str">
        <f t="shared" si="10"/>
        <v>{"status": "verworpen", "title": "M0217", "url": "https://reddit.com/r/RMTK/comments/hil801", "voor":4, "tegen": 14, "onthouden":1}</v>
      </c>
      <c r="DD48" s="2117" t="str">
        <f t="shared" si="10"/>
        <v>{"status": "aangenomen", "title": "W0106", "url": "https://reddit.com/r/RMTK/comments/hez1cm", "voor":17, "tegen": 1, "onthouden":1}</v>
      </c>
      <c r="DE48" s="2117" t="str">
        <f t="shared" si="10"/>
        <v>{"status": "verworpen", "title": "W0107", "url": "https://reddit.com/r/RMTK/comments/hfk4zw", "voor":5, "tegen": 13, "onthouden":1}</v>
      </c>
      <c r="DF48" s="2117" t="str">
        <f t="shared" si="10"/>
        <v>{"status": "aangenomen", "title": "W0108-I", "url": "https://reddit.com/r/RMTK/comments/himh1r", "voor":18, "tegen": 0, "onthouden":1}</v>
      </c>
      <c r="DG48" s="2119" t="str">
        <f t="shared" si="10"/>
        <v>{"status": "aangenomen", "title": "W0109", "url": "https://reddit.com/r/RMTK/comments/hhckd2", "voor":18, "tegen": 0, "onthouden":1}</v>
      </c>
      <c r="DH48" s="2117" t="str">
        <f t="shared" si="10"/>
        <v>{"status": "aangenomen", "title": "M0218", "url": "https://reddit.com/r/RMTK/comments/hm4wab", "voor":17, "tegen": 0, "onthouden":2}</v>
      </c>
      <c r="DI48" s="2117" t="str">
        <f t="shared" si="10"/>
        <v>{"status": "aangenomen", "title": "M0219", "url": "https://reddit.com/r/RMTK/comments/hmrrak", "voor":18, "tegen": 0, "onthouden":1}</v>
      </c>
      <c r="DJ48" s="2117" t="str">
        <f t="shared" si="10"/>
        <v>{"status": "aangenomen", "title": "W0108", "url": "https://reddit.com/r/RMTK/comments/hgh3pe", "voor":18, "tegen": 0, "onthouden":1}</v>
      </c>
      <c r="DK48" s="2117" t="str">
        <f t="shared" si="10"/>
        <v>{"status": "aangenomen", "title": "W0110", "url": "https://reddit.com/r/RMTK/comments/hj83fw", "voor":15, "tegen": 3, "onthouden":1}</v>
      </c>
      <c r="DL48" s="2119" t="str">
        <f t="shared" si="10"/>
        <v>{"status": "verworpen", "title": "W0111", "url": "https://reddit.com/r/RMTK/comments/hjuz32", "voor":7, "tegen": 11, "onthouden":1}</v>
      </c>
      <c r="DM48" s="2117" t="str">
        <f t="shared" si="10"/>
        <v>{"status": "aangenomen", "title": "M0220", "url": "https://reddit.com/r/RMTK/comments/ho0htn", "voor":17, "tegen": 2, "onthouden":1}</v>
      </c>
      <c r="DN48" s="2117" t="str">
        <f t="shared" si="10"/>
        <v>{"status": "aangenomen", "title": "M0221", "url": "https://reddit.com/r/RMTK/comments/hqcm8l", "voor":7, "tegen": 6, "onthouden":7}</v>
      </c>
      <c r="DO48" s="2117" t="str">
        <f t="shared" si="10"/>
        <v>{"status": "verworpen", "title": "M0222", "url": "https://reddit.com/r/RMTK/comments/hqytga", "voor":6, "tegen": 13, "onthouden":1}</v>
      </c>
      <c r="DP48" s="2117" t="str">
        <f t="shared" si="10"/>
        <v>{"status": "aangenomen", "title": "W0112", "url": "https://reddit.com/r/RMTK/comments/hned9g", "voor":16, "tegen": 3, "onthouden":1}</v>
      </c>
      <c r="DQ48" s="2118" t="str">
        <f t="shared" si="10"/>
        <v>{"status": "aangenomen", "title": "M0223", "url": "https://reddit.com/r/RMTK/comments/hrkvj3", "voor":11, "tegen": 4, "onthouden":1}</v>
      </c>
      <c r="DR48" s="2117" t="str">
        <f t="shared" si="10"/>
        <v>{"status": "verworpen", "title": "M0224", "url": "https://reddit.com/r/RMTK/comments/hs6xlt", "voor":5, "tegen": 8, "onthouden":3}</v>
      </c>
      <c r="DS48" s="2119" t="str">
        <f t="shared" si="10"/>
        <v>{"status": "aangenomen", "title": "W0114", "url": "https://reddit.com/r/RMTK/comments/hv4qw4", "voor":12, "tegen": 3, "onthouden":1}</v>
      </c>
      <c r="DT48" s="2117" t="str">
        <f t="shared" si="10"/>
        <v>{"status": "verworpen", "title": "M0229", "url": "https://reddit.com/r/RMTK/comments/hwdo6h", "voor":11, "tegen": 12, "onthouden":1}</v>
      </c>
      <c r="DU48" s="2117" t="str">
        <f t="shared" si="10"/>
        <v>{"status": "aangenomen", "title": "W0113-I", "url": "https://reddit.com/r/RMTK/comments/hwzqpe", "voor":23, "tegen": 0, "onthouden":1}</v>
      </c>
      <c r="DV48" s="2117" t="str">
        <f t="shared" si="10"/>
        <v>{"status": "aangenomen", "title": "W0115", "url": "https://reddit.com/r/RMTK/comments/hvr3js", "voor":20, "tegen": 4, "onthouden":0}</v>
      </c>
      <c r="DW48" s="2117" t="str">
        <f t="shared" si="10"/>
        <v>{"status": "aangenomen", "title": "W0116", "url": "https://reddit.com/r/RMTK/comments/hwd0lv", "voor":16, "tegen": 7, "onthouden":1}</v>
      </c>
      <c r="DX48" s="2119" t="str">
        <f t="shared" si="10"/>
        <v>{"status": "aangenomen", "title": "W0117-I", "url": "https://reddit.com/r/RMTK/comments/hzdmjq", "voor":20, "tegen": 2, "onthouden":2}</v>
      </c>
      <c r="DY48" s="2117" t="str">
        <f t="shared" si="10"/>
        <v>{"status": "aangenomen", "title": "M0225", "url": "https://reddit.com/r/RMTK/comments/hzy20q", "voor":15, "tegen": 5, "onthouden":1}</v>
      </c>
      <c r="DZ48" s="2117" t="str">
        <f t="shared" si="10"/>
        <v>{"status": "aangenomen", "title": "W0113", "url": "https://reddit.com/r/RMTK/comments/huioh6", "voor":20, "tegen": 0, "onthouden":1}</v>
      </c>
      <c r="EA48" s="2117" t="str">
        <f t="shared" si="10"/>
        <v>{"status": "verworpen", "title": "W0117", "url": "https://reddit.com/r/RMTK/comments/hypi3e", "voor":8, "tegen": 12, "onthouden":1}</v>
      </c>
      <c r="EB48" s="2117" t="str">
        <f t="shared" si="10"/>
        <v>{"status": "aangenomen", "title": "W0118-I", "url": "https://reddit.com/r/RMTK/comments/i0pg7a", "voor":20, "tegen": 1, "onthouden":0}</v>
      </c>
      <c r="EC48" s="2117" t="str">
        <f t="shared" si="10"/>
        <v>{"status": "aangenomen", "title": "W0119", "url": "https://reddit.com/r/RMTK/comments/i0jew5", "voor":20, "tegen": 0, "onthouden":1}</v>
      </c>
      <c r="ED48" s="2119" t="str">
        <f t="shared" si="10"/>
        <v>{"status": "aangenomen", "title": "W0120", "url": "https://reddit.com/r/RMTK/comments/i2ucsj", "voor":20, "tegen": 0, "onthouden":1}</v>
      </c>
      <c r="EE48" s="2117" t="str">
        <f t="shared" si="10"/>
        <v>{"status": "aangenomen", "title": "M0226", "url": "https://reddit.com/r/RMTK/comments/i4p0om", "voor":12, "tegen": 6, "onthouden":1}</v>
      </c>
      <c r="EF48" s="2117" t="str">
        <f t="shared" si="10"/>
        <v>{"status": "verworpen", "title": "M0227", "url": "https://reddit.com/r/RMTK/comments/i42kh7", "voor":1, "tegen": 17, "onthouden":1}</v>
      </c>
      <c r="EG48" s="2117" t="str">
        <f t="shared" si="10"/>
        <v>{"status": "aangenomen", "title": "M0228", "url": "https://reddit.com/r/RMTK/comments/i721ot", "voor":10, "tegen": 8, "onthouden":1}</v>
      </c>
      <c r="EH48" s="2117" t="str">
        <f t="shared" si="10"/>
        <v>{"status": "aangenomen", "title": "W0118", "url": "https://reddit.com/r/RMTK/comments/hzbyx6", "voor":19, "tegen": 0, "onthouden":0}</v>
      </c>
      <c r="EI48" s="2119" t="str">
        <f t="shared" si="10"/>
        <v>{"status": "aangenomen", "title": "W0122", "url": "https://reddit.com/r/RMTK/comments/i7p1yp", "voor":17, "tegen": 1, "onthouden":1}</v>
      </c>
    </row>
    <row r="49" ht="18.0" customHeight="1">
      <c r="A49" s="198" t="s">
        <v>119</v>
      </c>
      <c r="B49" s="199" t="s">
        <v>91</v>
      </c>
      <c r="C49" s="44"/>
      <c r="D49" s="200">
        <f t="shared" ref="D49:H49" si="11">COUNTIF(D5:D47,"Voor")</f>
        <v>14</v>
      </c>
      <c r="E49" s="201">
        <f t="shared" si="11"/>
        <v>16</v>
      </c>
      <c r="F49" s="201">
        <f t="shared" si="11"/>
        <v>21</v>
      </c>
      <c r="G49" s="201">
        <f t="shared" si="11"/>
        <v>21</v>
      </c>
      <c r="H49" s="201">
        <f t="shared" si="11"/>
        <v>18</v>
      </c>
      <c r="I49" s="2120">
        <v>8.0</v>
      </c>
      <c r="J49" s="2121">
        <f t="shared" ref="J49:EI49" si="12">COUNTIF(J5:J47,"Voor")</f>
        <v>1</v>
      </c>
      <c r="K49" s="201">
        <f t="shared" si="12"/>
        <v>4</v>
      </c>
      <c r="L49" s="201">
        <f t="shared" si="12"/>
        <v>1</v>
      </c>
      <c r="M49" s="201">
        <f t="shared" si="12"/>
        <v>15</v>
      </c>
      <c r="N49" s="201">
        <f t="shared" si="12"/>
        <v>11</v>
      </c>
      <c r="O49" s="2122">
        <f t="shared" si="12"/>
        <v>4</v>
      </c>
      <c r="P49" s="2121">
        <f t="shared" si="12"/>
        <v>0</v>
      </c>
      <c r="Q49" s="201">
        <f t="shared" si="12"/>
        <v>8</v>
      </c>
      <c r="R49" s="201">
        <f t="shared" si="12"/>
        <v>3</v>
      </c>
      <c r="S49" s="201">
        <f t="shared" si="12"/>
        <v>3</v>
      </c>
      <c r="T49" s="201">
        <f t="shared" si="12"/>
        <v>14</v>
      </c>
      <c r="U49" s="201">
        <f t="shared" si="12"/>
        <v>17</v>
      </c>
      <c r="V49" s="201">
        <f t="shared" si="12"/>
        <v>7</v>
      </c>
      <c r="W49" s="2122">
        <f t="shared" si="12"/>
        <v>9</v>
      </c>
      <c r="X49" s="2121">
        <f t="shared" si="12"/>
        <v>1</v>
      </c>
      <c r="Y49" s="201">
        <f t="shared" si="12"/>
        <v>6</v>
      </c>
      <c r="Z49" s="201">
        <f t="shared" si="12"/>
        <v>12</v>
      </c>
      <c r="AA49" s="201">
        <f t="shared" si="12"/>
        <v>15</v>
      </c>
      <c r="AB49" s="201">
        <f t="shared" si="12"/>
        <v>21</v>
      </c>
      <c r="AC49" s="201">
        <f t="shared" si="12"/>
        <v>6</v>
      </c>
      <c r="AD49" s="2122">
        <f t="shared" si="12"/>
        <v>22</v>
      </c>
      <c r="AE49" s="2121">
        <f t="shared" si="12"/>
        <v>5</v>
      </c>
      <c r="AF49" s="201">
        <f t="shared" si="12"/>
        <v>1</v>
      </c>
      <c r="AG49" s="201">
        <f t="shared" si="12"/>
        <v>20</v>
      </c>
      <c r="AH49" s="201">
        <f t="shared" si="12"/>
        <v>8</v>
      </c>
      <c r="AI49" s="201">
        <f t="shared" si="12"/>
        <v>15</v>
      </c>
      <c r="AJ49" s="201">
        <f t="shared" si="12"/>
        <v>15</v>
      </c>
      <c r="AK49" s="201">
        <f t="shared" si="12"/>
        <v>14</v>
      </c>
      <c r="AL49" s="201">
        <f t="shared" si="12"/>
        <v>20</v>
      </c>
      <c r="AM49" s="2122">
        <f t="shared" si="12"/>
        <v>20</v>
      </c>
      <c r="AN49" s="2121">
        <f t="shared" si="12"/>
        <v>11</v>
      </c>
      <c r="AO49" s="201">
        <f t="shared" si="12"/>
        <v>14</v>
      </c>
      <c r="AP49" s="201">
        <f t="shared" si="12"/>
        <v>13</v>
      </c>
      <c r="AQ49" s="201">
        <f t="shared" si="12"/>
        <v>7</v>
      </c>
      <c r="AR49" s="201">
        <f t="shared" si="12"/>
        <v>15</v>
      </c>
      <c r="AS49" s="201">
        <f t="shared" si="12"/>
        <v>13</v>
      </c>
      <c r="AT49" s="201">
        <f t="shared" si="12"/>
        <v>11</v>
      </c>
      <c r="AU49" s="201">
        <f t="shared" si="12"/>
        <v>3</v>
      </c>
      <c r="AV49" s="2122">
        <f t="shared" si="12"/>
        <v>3</v>
      </c>
      <c r="AW49" s="2121">
        <f t="shared" si="12"/>
        <v>14</v>
      </c>
      <c r="AX49" s="201">
        <f t="shared" si="12"/>
        <v>16</v>
      </c>
      <c r="AY49" s="201">
        <f t="shared" si="12"/>
        <v>13</v>
      </c>
      <c r="AZ49" s="201">
        <f t="shared" si="12"/>
        <v>8</v>
      </c>
      <c r="BA49" s="201">
        <f t="shared" si="12"/>
        <v>18</v>
      </c>
      <c r="BB49" s="201">
        <f t="shared" si="12"/>
        <v>7</v>
      </c>
      <c r="BC49" s="2122">
        <f t="shared" si="12"/>
        <v>7</v>
      </c>
      <c r="BD49" s="2121">
        <f t="shared" si="12"/>
        <v>8</v>
      </c>
      <c r="BE49" s="201">
        <f t="shared" si="12"/>
        <v>5</v>
      </c>
      <c r="BF49" s="201">
        <f t="shared" si="12"/>
        <v>18</v>
      </c>
      <c r="BG49" s="201">
        <f t="shared" si="12"/>
        <v>6</v>
      </c>
      <c r="BH49" s="201">
        <f t="shared" si="12"/>
        <v>4</v>
      </c>
      <c r="BI49" s="201">
        <f t="shared" si="12"/>
        <v>9</v>
      </c>
      <c r="BJ49" s="201">
        <f t="shared" si="12"/>
        <v>12</v>
      </c>
      <c r="BK49" s="201">
        <f t="shared" si="12"/>
        <v>2</v>
      </c>
      <c r="BL49" s="201">
        <f t="shared" si="12"/>
        <v>6</v>
      </c>
      <c r="BM49" s="201">
        <f t="shared" si="12"/>
        <v>18</v>
      </c>
      <c r="BN49" s="201">
        <f t="shared" si="12"/>
        <v>19</v>
      </c>
      <c r="BO49" s="201">
        <f t="shared" si="12"/>
        <v>5</v>
      </c>
      <c r="BP49" s="201">
        <f t="shared" si="12"/>
        <v>18</v>
      </c>
      <c r="BQ49" s="2122">
        <f t="shared" si="12"/>
        <v>14</v>
      </c>
      <c r="BR49" s="2121">
        <f t="shared" si="12"/>
        <v>16</v>
      </c>
      <c r="BS49" s="201">
        <f t="shared" si="12"/>
        <v>1</v>
      </c>
      <c r="BT49" s="201">
        <f t="shared" si="12"/>
        <v>10</v>
      </c>
      <c r="BU49" s="201">
        <f t="shared" si="12"/>
        <v>8</v>
      </c>
      <c r="BV49" s="201">
        <f t="shared" si="12"/>
        <v>10</v>
      </c>
      <c r="BW49" s="201">
        <f t="shared" si="12"/>
        <v>11</v>
      </c>
      <c r="BX49" s="201">
        <f t="shared" si="12"/>
        <v>16</v>
      </c>
      <c r="BY49" s="201">
        <f t="shared" si="12"/>
        <v>13</v>
      </c>
      <c r="BZ49" s="201">
        <f t="shared" si="12"/>
        <v>7</v>
      </c>
      <c r="CA49" s="201">
        <f t="shared" si="12"/>
        <v>15</v>
      </c>
      <c r="CB49" s="201">
        <f t="shared" si="12"/>
        <v>15</v>
      </c>
      <c r="CC49" s="2122">
        <f t="shared" si="12"/>
        <v>8</v>
      </c>
      <c r="CD49" s="2121">
        <f t="shared" si="12"/>
        <v>4</v>
      </c>
      <c r="CE49" s="201">
        <f t="shared" si="12"/>
        <v>10</v>
      </c>
      <c r="CF49" s="201">
        <f t="shared" si="12"/>
        <v>13</v>
      </c>
      <c r="CG49" s="201">
        <f t="shared" si="12"/>
        <v>5</v>
      </c>
      <c r="CH49" s="201">
        <f t="shared" si="12"/>
        <v>13</v>
      </c>
      <c r="CI49" s="201">
        <f t="shared" si="12"/>
        <v>5</v>
      </c>
      <c r="CJ49" s="201">
        <f t="shared" si="12"/>
        <v>18</v>
      </c>
      <c r="CK49" s="201">
        <f t="shared" si="12"/>
        <v>13</v>
      </c>
      <c r="CL49" s="2122">
        <f t="shared" si="12"/>
        <v>8</v>
      </c>
      <c r="CM49" s="2121">
        <f t="shared" si="12"/>
        <v>12</v>
      </c>
      <c r="CN49" s="201">
        <f t="shared" si="12"/>
        <v>11</v>
      </c>
      <c r="CO49" s="201">
        <f t="shared" si="12"/>
        <v>11</v>
      </c>
      <c r="CP49" s="201">
        <f t="shared" si="12"/>
        <v>10</v>
      </c>
      <c r="CQ49" s="201">
        <f t="shared" si="12"/>
        <v>17</v>
      </c>
      <c r="CR49" s="2122">
        <f t="shared" si="12"/>
        <v>5</v>
      </c>
      <c r="CS49" s="2121">
        <f t="shared" si="12"/>
        <v>20</v>
      </c>
      <c r="CT49" s="201">
        <f t="shared" si="12"/>
        <v>19</v>
      </c>
      <c r="CU49" s="201">
        <f t="shared" si="12"/>
        <v>15</v>
      </c>
      <c r="CV49" s="201">
        <f t="shared" si="12"/>
        <v>10</v>
      </c>
      <c r="CW49" s="201">
        <f t="shared" si="12"/>
        <v>13</v>
      </c>
      <c r="CX49" s="201">
        <f t="shared" si="12"/>
        <v>14</v>
      </c>
      <c r="CY49" s="2122">
        <f t="shared" si="12"/>
        <v>15</v>
      </c>
      <c r="CZ49" s="2121">
        <f t="shared" si="12"/>
        <v>18</v>
      </c>
      <c r="DA49" s="201">
        <f t="shared" si="12"/>
        <v>14</v>
      </c>
      <c r="DB49" s="201">
        <f t="shared" si="12"/>
        <v>18</v>
      </c>
      <c r="DC49" s="201">
        <f t="shared" si="12"/>
        <v>4</v>
      </c>
      <c r="DD49" s="201">
        <f t="shared" si="12"/>
        <v>17</v>
      </c>
      <c r="DE49" s="201">
        <f t="shared" si="12"/>
        <v>5</v>
      </c>
      <c r="DF49" s="201">
        <f t="shared" si="12"/>
        <v>18</v>
      </c>
      <c r="DG49" s="2122">
        <f t="shared" si="12"/>
        <v>18</v>
      </c>
      <c r="DH49" s="2121">
        <f t="shared" si="12"/>
        <v>17</v>
      </c>
      <c r="DI49" s="201">
        <f t="shared" si="12"/>
        <v>18</v>
      </c>
      <c r="DJ49" s="201">
        <f t="shared" si="12"/>
        <v>18</v>
      </c>
      <c r="DK49" s="201">
        <f t="shared" si="12"/>
        <v>15</v>
      </c>
      <c r="DL49" s="2122">
        <f t="shared" si="12"/>
        <v>7</v>
      </c>
      <c r="DM49" s="2121">
        <f t="shared" si="12"/>
        <v>17</v>
      </c>
      <c r="DN49" s="201">
        <f t="shared" si="12"/>
        <v>7</v>
      </c>
      <c r="DO49" s="201">
        <f t="shared" si="12"/>
        <v>6</v>
      </c>
      <c r="DP49" s="2122">
        <f t="shared" si="12"/>
        <v>16</v>
      </c>
      <c r="DQ49" s="2121">
        <f t="shared" si="12"/>
        <v>11</v>
      </c>
      <c r="DR49" s="201">
        <f t="shared" si="12"/>
        <v>5</v>
      </c>
      <c r="DS49" s="202">
        <f t="shared" si="12"/>
        <v>12</v>
      </c>
      <c r="DT49" s="200">
        <f t="shared" si="12"/>
        <v>11</v>
      </c>
      <c r="DU49" s="201">
        <f t="shared" si="12"/>
        <v>23</v>
      </c>
      <c r="DV49" s="201">
        <f t="shared" si="12"/>
        <v>20</v>
      </c>
      <c r="DW49" s="201">
        <f t="shared" si="12"/>
        <v>16</v>
      </c>
      <c r="DX49" s="202">
        <f t="shared" si="12"/>
        <v>20</v>
      </c>
      <c r="DY49" s="200">
        <f t="shared" si="12"/>
        <v>15</v>
      </c>
      <c r="DZ49" s="200">
        <f t="shared" si="12"/>
        <v>20</v>
      </c>
      <c r="EA49" s="201">
        <f t="shared" si="12"/>
        <v>8</v>
      </c>
      <c r="EB49" s="201">
        <f t="shared" si="12"/>
        <v>20</v>
      </c>
      <c r="EC49" s="201">
        <f t="shared" si="12"/>
        <v>20</v>
      </c>
      <c r="ED49" s="2123">
        <f t="shared" si="12"/>
        <v>20</v>
      </c>
      <c r="EE49" s="200">
        <f t="shared" si="12"/>
        <v>12</v>
      </c>
      <c r="EF49" s="201">
        <f t="shared" si="12"/>
        <v>1</v>
      </c>
      <c r="EG49" s="201">
        <f t="shared" si="12"/>
        <v>10</v>
      </c>
      <c r="EH49" s="201">
        <f t="shared" si="12"/>
        <v>19</v>
      </c>
      <c r="EI49" s="2123">
        <f t="shared" si="12"/>
        <v>17</v>
      </c>
    </row>
    <row r="50" ht="18.75" customHeight="1">
      <c r="A50" s="44"/>
      <c r="B50" s="203" t="s">
        <v>92</v>
      </c>
      <c r="C50" s="44"/>
      <c r="D50" s="204">
        <f t="shared" ref="D50:H50" si="13">COUNTIF(D5:D47,"Tegen")</f>
        <v>8</v>
      </c>
      <c r="E50" s="205">
        <f t="shared" si="13"/>
        <v>5</v>
      </c>
      <c r="F50" s="205">
        <f t="shared" si="13"/>
        <v>0</v>
      </c>
      <c r="G50" s="205">
        <f t="shared" si="13"/>
        <v>0</v>
      </c>
      <c r="H50" s="205">
        <f t="shared" si="13"/>
        <v>3</v>
      </c>
      <c r="I50" s="2124">
        <v>6.0</v>
      </c>
      <c r="J50" s="2125">
        <f t="shared" ref="J50:EI50" si="14">COUNTIF(J5:J47,"Tegen")</f>
        <v>18</v>
      </c>
      <c r="K50" s="205">
        <f t="shared" si="14"/>
        <v>15</v>
      </c>
      <c r="L50" s="205">
        <f t="shared" si="14"/>
        <v>18</v>
      </c>
      <c r="M50" s="205">
        <f t="shared" si="14"/>
        <v>4</v>
      </c>
      <c r="N50" s="205">
        <f t="shared" si="14"/>
        <v>8</v>
      </c>
      <c r="O50" s="2126">
        <f t="shared" si="14"/>
        <v>15</v>
      </c>
      <c r="P50" s="2125">
        <f t="shared" si="14"/>
        <v>21</v>
      </c>
      <c r="Q50" s="205">
        <f t="shared" si="14"/>
        <v>13</v>
      </c>
      <c r="R50" s="205">
        <f t="shared" si="14"/>
        <v>18</v>
      </c>
      <c r="S50" s="205">
        <f t="shared" si="14"/>
        <v>18</v>
      </c>
      <c r="T50" s="205">
        <f t="shared" si="14"/>
        <v>7</v>
      </c>
      <c r="U50" s="205">
        <f t="shared" si="14"/>
        <v>5</v>
      </c>
      <c r="V50" s="205">
        <f t="shared" si="14"/>
        <v>14</v>
      </c>
      <c r="W50" s="2126">
        <f t="shared" si="14"/>
        <v>12</v>
      </c>
      <c r="X50" s="2125">
        <f t="shared" si="14"/>
        <v>21</v>
      </c>
      <c r="Y50" s="205">
        <f t="shared" si="14"/>
        <v>15</v>
      </c>
      <c r="Z50" s="205">
        <f t="shared" si="14"/>
        <v>10</v>
      </c>
      <c r="AA50" s="205">
        <f t="shared" si="14"/>
        <v>8</v>
      </c>
      <c r="AB50" s="205">
        <f t="shared" si="14"/>
        <v>1</v>
      </c>
      <c r="AC50" s="205">
        <f t="shared" si="14"/>
        <v>15</v>
      </c>
      <c r="AD50" s="2126">
        <f t="shared" si="14"/>
        <v>0</v>
      </c>
      <c r="AE50" s="2125">
        <f t="shared" si="14"/>
        <v>15</v>
      </c>
      <c r="AF50" s="205">
        <f t="shared" si="14"/>
        <v>20</v>
      </c>
      <c r="AG50" s="205">
        <f t="shared" si="14"/>
        <v>0</v>
      </c>
      <c r="AH50" s="205">
        <f t="shared" si="14"/>
        <v>10</v>
      </c>
      <c r="AI50" s="205">
        <f t="shared" si="14"/>
        <v>6</v>
      </c>
      <c r="AJ50" s="205">
        <f t="shared" si="14"/>
        <v>5</v>
      </c>
      <c r="AK50" s="205">
        <f t="shared" si="14"/>
        <v>6</v>
      </c>
      <c r="AL50" s="205">
        <f t="shared" si="14"/>
        <v>0</v>
      </c>
      <c r="AM50" s="2126">
        <f t="shared" si="14"/>
        <v>0</v>
      </c>
      <c r="AN50" s="2125">
        <f t="shared" si="14"/>
        <v>4</v>
      </c>
      <c r="AO50" s="205">
        <f t="shared" si="14"/>
        <v>2</v>
      </c>
      <c r="AP50" s="205">
        <f t="shared" si="14"/>
        <v>3</v>
      </c>
      <c r="AQ50" s="205">
        <f t="shared" si="14"/>
        <v>8</v>
      </c>
      <c r="AR50" s="205">
        <f t="shared" si="14"/>
        <v>1</v>
      </c>
      <c r="AS50" s="205">
        <f t="shared" si="14"/>
        <v>3</v>
      </c>
      <c r="AT50" s="205">
        <f t="shared" si="14"/>
        <v>5</v>
      </c>
      <c r="AU50" s="205">
        <f t="shared" si="14"/>
        <v>13</v>
      </c>
      <c r="AV50" s="2126">
        <f t="shared" si="14"/>
        <v>13</v>
      </c>
      <c r="AW50" s="2125">
        <f t="shared" si="14"/>
        <v>5</v>
      </c>
      <c r="AX50" s="205">
        <f t="shared" si="14"/>
        <v>4</v>
      </c>
      <c r="AY50" s="205">
        <f t="shared" si="14"/>
        <v>7</v>
      </c>
      <c r="AZ50" s="205">
        <f t="shared" si="14"/>
        <v>13</v>
      </c>
      <c r="BA50" s="205">
        <f t="shared" si="14"/>
        <v>2</v>
      </c>
      <c r="BB50" s="205">
        <f t="shared" si="14"/>
        <v>13</v>
      </c>
      <c r="BC50" s="2126">
        <f t="shared" si="14"/>
        <v>13</v>
      </c>
      <c r="BD50" s="2125">
        <f t="shared" si="14"/>
        <v>11</v>
      </c>
      <c r="BE50" s="205">
        <f t="shared" si="14"/>
        <v>14</v>
      </c>
      <c r="BF50" s="205">
        <f t="shared" si="14"/>
        <v>1</v>
      </c>
      <c r="BG50" s="205">
        <f t="shared" si="14"/>
        <v>13</v>
      </c>
      <c r="BH50" s="205">
        <f t="shared" si="14"/>
        <v>14</v>
      </c>
      <c r="BI50" s="205">
        <f t="shared" si="14"/>
        <v>10</v>
      </c>
      <c r="BJ50" s="205">
        <f t="shared" si="14"/>
        <v>6</v>
      </c>
      <c r="BK50" s="205">
        <f t="shared" si="14"/>
        <v>17</v>
      </c>
      <c r="BL50" s="205">
        <f t="shared" si="14"/>
        <v>13</v>
      </c>
      <c r="BM50" s="205">
        <f t="shared" si="14"/>
        <v>1</v>
      </c>
      <c r="BN50" s="205">
        <f t="shared" si="14"/>
        <v>0</v>
      </c>
      <c r="BO50" s="205">
        <f t="shared" si="14"/>
        <v>14</v>
      </c>
      <c r="BP50" s="205">
        <f t="shared" si="14"/>
        <v>2</v>
      </c>
      <c r="BQ50" s="2126">
        <f t="shared" si="14"/>
        <v>1</v>
      </c>
      <c r="BR50" s="2125">
        <f t="shared" si="14"/>
        <v>0</v>
      </c>
      <c r="BS50" s="205">
        <f t="shared" si="14"/>
        <v>15</v>
      </c>
      <c r="BT50" s="205">
        <f t="shared" si="14"/>
        <v>6</v>
      </c>
      <c r="BU50" s="205">
        <f t="shared" si="14"/>
        <v>8</v>
      </c>
      <c r="BV50" s="205">
        <f t="shared" si="14"/>
        <v>6</v>
      </c>
      <c r="BW50" s="205">
        <f t="shared" si="14"/>
        <v>4</v>
      </c>
      <c r="BX50" s="205">
        <f t="shared" si="14"/>
        <v>0</v>
      </c>
      <c r="BY50" s="205">
        <f t="shared" si="14"/>
        <v>3</v>
      </c>
      <c r="BZ50" s="205">
        <f t="shared" si="14"/>
        <v>9</v>
      </c>
      <c r="CA50" s="205">
        <f t="shared" si="14"/>
        <v>0</v>
      </c>
      <c r="CB50" s="205">
        <f t="shared" si="14"/>
        <v>1</v>
      </c>
      <c r="CC50" s="2126">
        <f t="shared" si="14"/>
        <v>9</v>
      </c>
      <c r="CD50" s="2125">
        <f t="shared" si="14"/>
        <v>14</v>
      </c>
      <c r="CE50" s="205">
        <f t="shared" si="14"/>
        <v>8</v>
      </c>
      <c r="CF50" s="205">
        <f t="shared" si="14"/>
        <v>5</v>
      </c>
      <c r="CG50" s="205">
        <f t="shared" si="14"/>
        <v>13</v>
      </c>
      <c r="CH50" s="205">
        <f t="shared" si="14"/>
        <v>5</v>
      </c>
      <c r="CI50" s="205">
        <f t="shared" si="14"/>
        <v>12</v>
      </c>
      <c r="CJ50" s="205">
        <f t="shared" si="14"/>
        <v>0</v>
      </c>
      <c r="CK50" s="205">
        <f t="shared" si="14"/>
        <v>4</v>
      </c>
      <c r="CL50" s="2126">
        <f t="shared" si="14"/>
        <v>8</v>
      </c>
      <c r="CM50" s="2125">
        <f t="shared" si="14"/>
        <v>5</v>
      </c>
      <c r="CN50" s="205">
        <f t="shared" si="14"/>
        <v>6</v>
      </c>
      <c r="CO50" s="205">
        <f t="shared" si="14"/>
        <v>6</v>
      </c>
      <c r="CP50" s="205">
        <f t="shared" si="14"/>
        <v>7</v>
      </c>
      <c r="CQ50" s="205">
        <f t="shared" si="14"/>
        <v>0</v>
      </c>
      <c r="CR50" s="2126">
        <f t="shared" si="14"/>
        <v>12</v>
      </c>
      <c r="CS50" s="2125">
        <f t="shared" si="14"/>
        <v>0</v>
      </c>
      <c r="CT50" s="205">
        <f t="shared" si="14"/>
        <v>1</v>
      </c>
      <c r="CU50" s="205">
        <f t="shared" si="14"/>
        <v>5</v>
      </c>
      <c r="CV50" s="205">
        <f t="shared" si="14"/>
        <v>8</v>
      </c>
      <c r="CW50" s="205">
        <f t="shared" si="14"/>
        <v>6</v>
      </c>
      <c r="CX50" s="205">
        <f t="shared" si="14"/>
        <v>6</v>
      </c>
      <c r="CY50" s="2126">
        <f t="shared" si="14"/>
        <v>5</v>
      </c>
      <c r="CZ50" s="2125">
        <f t="shared" si="14"/>
        <v>0</v>
      </c>
      <c r="DA50" s="205">
        <f t="shared" si="14"/>
        <v>0</v>
      </c>
      <c r="DB50" s="205">
        <f t="shared" si="14"/>
        <v>0</v>
      </c>
      <c r="DC50" s="205">
        <f t="shared" si="14"/>
        <v>14</v>
      </c>
      <c r="DD50" s="205">
        <f t="shared" si="14"/>
        <v>1</v>
      </c>
      <c r="DE50" s="205">
        <f t="shared" si="14"/>
        <v>13</v>
      </c>
      <c r="DF50" s="205">
        <f t="shared" si="14"/>
        <v>0</v>
      </c>
      <c r="DG50" s="2126">
        <f t="shared" si="14"/>
        <v>0</v>
      </c>
      <c r="DH50" s="2125">
        <f t="shared" si="14"/>
        <v>0</v>
      </c>
      <c r="DI50" s="205">
        <f t="shared" si="14"/>
        <v>0</v>
      </c>
      <c r="DJ50" s="205">
        <f t="shared" si="14"/>
        <v>0</v>
      </c>
      <c r="DK50" s="205">
        <f t="shared" si="14"/>
        <v>3</v>
      </c>
      <c r="DL50" s="2126">
        <f t="shared" si="14"/>
        <v>11</v>
      </c>
      <c r="DM50" s="2125">
        <f t="shared" si="14"/>
        <v>2</v>
      </c>
      <c r="DN50" s="205">
        <f t="shared" si="14"/>
        <v>6</v>
      </c>
      <c r="DO50" s="205">
        <f t="shared" si="14"/>
        <v>13</v>
      </c>
      <c r="DP50" s="2126">
        <f t="shared" si="14"/>
        <v>3</v>
      </c>
      <c r="DQ50" s="2125">
        <f t="shared" si="14"/>
        <v>4</v>
      </c>
      <c r="DR50" s="205">
        <f t="shared" si="14"/>
        <v>8</v>
      </c>
      <c r="DS50" s="206">
        <f t="shared" si="14"/>
        <v>3</v>
      </c>
      <c r="DT50" s="204">
        <f t="shared" si="14"/>
        <v>12</v>
      </c>
      <c r="DU50" s="205">
        <f t="shared" si="14"/>
        <v>0</v>
      </c>
      <c r="DV50" s="205">
        <f t="shared" si="14"/>
        <v>4</v>
      </c>
      <c r="DW50" s="205">
        <f t="shared" si="14"/>
        <v>7</v>
      </c>
      <c r="DX50" s="206">
        <f t="shared" si="14"/>
        <v>2</v>
      </c>
      <c r="DY50" s="204">
        <f t="shared" si="14"/>
        <v>5</v>
      </c>
      <c r="DZ50" s="204">
        <f t="shared" si="14"/>
        <v>0</v>
      </c>
      <c r="EA50" s="205">
        <f t="shared" si="14"/>
        <v>12</v>
      </c>
      <c r="EB50" s="205">
        <f t="shared" si="14"/>
        <v>1</v>
      </c>
      <c r="EC50" s="205">
        <f t="shared" si="14"/>
        <v>0</v>
      </c>
      <c r="ED50" s="2127">
        <f t="shared" si="14"/>
        <v>0</v>
      </c>
      <c r="EE50" s="204">
        <f t="shared" si="14"/>
        <v>6</v>
      </c>
      <c r="EF50" s="205">
        <f t="shared" si="14"/>
        <v>17</v>
      </c>
      <c r="EG50" s="205">
        <f t="shared" si="14"/>
        <v>8</v>
      </c>
      <c r="EH50" s="205">
        <f t="shared" si="14"/>
        <v>0</v>
      </c>
      <c r="EI50" s="2127">
        <f t="shared" si="14"/>
        <v>1</v>
      </c>
    </row>
    <row r="51" ht="18.75" customHeight="1">
      <c r="A51" s="44"/>
      <c r="B51" s="207" t="s">
        <v>120</v>
      </c>
      <c r="C51" s="44"/>
      <c r="D51" s="208">
        <f t="shared" ref="D51:H51" si="15">COUNTIF(D5:D47,"SO")</f>
        <v>0</v>
      </c>
      <c r="E51" s="209">
        <f t="shared" si="15"/>
        <v>1</v>
      </c>
      <c r="F51" s="209">
        <f t="shared" si="15"/>
        <v>1</v>
      </c>
      <c r="G51" s="209">
        <f t="shared" si="15"/>
        <v>1</v>
      </c>
      <c r="H51" s="209">
        <f t="shared" si="15"/>
        <v>1</v>
      </c>
      <c r="I51" s="2128">
        <v>5.0</v>
      </c>
      <c r="J51" s="2129">
        <f t="shared" ref="J51:EI51" si="16">COUNTIF(J5:J47,"SO")</f>
        <v>1</v>
      </c>
      <c r="K51" s="209">
        <f t="shared" si="16"/>
        <v>1</v>
      </c>
      <c r="L51" s="209">
        <f t="shared" si="16"/>
        <v>1</v>
      </c>
      <c r="M51" s="209">
        <f t="shared" si="16"/>
        <v>1</v>
      </c>
      <c r="N51" s="209">
        <f t="shared" si="16"/>
        <v>1</v>
      </c>
      <c r="O51" s="2130">
        <f t="shared" si="16"/>
        <v>1</v>
      </c>
      <c r="P51" s="2129">
        <f t="shared" si="16"/>
        <v>1</v>
      </c>
      <c r="Q51" s="209">
        <f t="shared" si="16"/>
        <v>1</v>
      </c>
      <c r="R51" s="209">
        <f t="shared" si="16"/>
        <v>1</v>
      </c>
      <c r="S51" s="209">
        <f t="shared" si="16"/>
        <v>1</v>
      </c>
      <c r="T51" s="209">
        <f t="shared" si="16"/>
        <v>1</v>
      </c>
      <c r="U51" s="209">
        <f t="shared" si="16"/>
        <v>0</v>
      </c>
      <c r="V51" s="209">
        <f t="shared" si="16"/>
        <v>1</v>
      </c>
      <c r="W51" s="2130">
        <f t="shared" si="16"/>
        <v>1</v>
      </c>
      <c r="X51" s="2129">
        <f t="shared" si="16"/>
        <v>1</v>
      </c>
      <c r="Y51" s="209">
        <f t="shared" si="16"/>
        <v>2</v>
      </c>
      <c r="Z51" s="209">
        <f t="shared" si="16"/>
        <v>1</v>
      </c>
      <c r="AA51" s="209">
        <f t="shared" si="16"/>
        <v>0</v>
      </c>
      <c r="AB51" s="209">
        <f t="shared" si="16"/>
        <v>1</v>
      </c>
      <c r="AC51" s="209">
        <f t="shared" si="16"/>
        <v>2</v>
      </c>
      <c r="AD51" s="2130">
        <f t="shared" si="16"/>
        <v>1</v>
      </c>
      <c r="AE51" s="2129">
        <f t="shared" si="16"/>
        <v>1</v>
      </c>
      <c r="AF51" s="209">
        <f t="shared" si="16"/>
        <v>0</v>
      </c>
      <c r="AG51" s="209">
        <f t="shared" si="16"/>
        <v>1</v>
      </c>
      <c r="AH51" s="209">
        <f t="shared" si="16"/>
        <v>3</v>
      </c>
      <c r="AI51" s="209">
        <f t="shared" si="16"/>
        <v>0</v>
      </c>
      <c r="AJ51" s="209">
        <f t="shared" si="16"/>
        <v>1</v>
      </c>
      <c r="AK51" s="209">
        <f t="shared" si="16"/>
        <v>1</v>
      </c>
      <c r="AL51" s="209">
        <f t="shared" si="16"/>
        <v>1</v>
      </c>
      <c r="AM51" s="2130">
        <f t="shared" si="16"/>
        <v>1</v>
      </c>
      <c r="AN51" s="2129">
        <f t="shared" si="16"/>
        <v>1</v>
      </c>
      <c r="AO51" s="209">
        <f t="shared" si="16"/>
        <v>1</v>
      </c>
      <c r="AP51" s="209">
        <f t="shared" si="16"/>
        <v>1</v>
      </c>
      <c r="AQ51" s="209">
        <f t="shared" si="16"/>
        <v>2</v>
      </c>
      <c r="AR51" s="209">
        <f t="shared" si="16"/>
        <v>1</v>
      </c>
      <c r="AS51" s="209">
        <f t="shared" si="16"/>
        <v>1</v>
      </c>
      <c r="AT51" s="209">
        <f t="shared" si="16"/>
        <v>1</v>
      </c>
      <c r="AU51" s="209">
        <f t="shared" si="16"/>
        <v>1</v>
      </c>
      <c r="AV51" s="2130">
        <f t="shared" si="16"/>
        <v>1</v>
      </c>
      <c r="AW51" s="2129">
        <f t="shared" si="16"/>
        <v>1</v>
      </c>
      <c r="AX51" s="209">
        <f t="shared" si="16"/>
        <v>1</v>
      </c>
      <c r="AY51" s="209">
        <f t="shared" si="16"/>
        <v>1</v>
      </c>
      <c r="AZ51" s="209">
        <f t="shared" si="16"/>
        <v>0</v>
      </c>
      <c r="BA51" s="209">
        <f t="shared" si="16"/>
        <v>1</v>
      </c>
      <c r="BB51" s="209">
        <f t="shared" si="16"/>
        <v>1</v>
      </c>
      <c r="BC51" s="2130">
        <f t="shared" si="16"/>
        <v>1</v>
      </c>
      <c r="BD51" s="2129">
        <f t="shared" si="16"/>
        <v>1</v>
      </c>
      <c r="BE51" s="209">
        <f t="shared" si="16"/>
        <v>1</v>
      </c>
      <c r="BF51" s="209">
        <f t="shared" si="16"/>
        <v>1</v>
      </c>
      <c r="BG51" s="209">
        <f t="shared" si="16"/>
        <v>1</v>
      </c>
      <c r="BH51" s="209">
        <f t="shared" si="16"/>
        <v>2</v>
      </c>
      <c r="BI51" s="209">
        <f t="shared" si="16"/>
        <v>1</v>
      </c>
      <c r="BJ51" s="209">
        <f t="shared" si="16"/>
        <v>2</v>
      </c>
      <c r="BK51" s="209">
        <f t="shared" si="16"/>
        <v>1</v>
      </c>
      <c r="BL51" s="209">
        <f t="shared" si="16"/>
        <v>1</v>
      </c>
      <c r="BM51" s="209">
        <f t="shared" si="16"/>
        <v>1</v>
      </c>
      <c r="BN51" s="209">
        <f t="shared" si="16"/>
        <v>1</v>
      </c>
      <c r="BO51" s="209">
        <f t="shared" si="16"/>
        <v>1</v>
      </c>
      <c r="BP51" s="209">
        <f t="shared" si="16"/>
        <v>0</v>
      </c>
      <c r="BQ51" s="2130">
        <f t="shared" si="16"/>
        <v>1</v>
      </c>
      <c r="BR51" s="2129">
        <f t="shared" si="16"/>
        <v>1</v>
      </c>
      <c r="BS51" s="209">
        <f t="shared" si="16"/>
        <v>1</v>
      </c>
      <c r="BT51" s="209">
        <f t="shared" si="16"/>
        <v>1</v>
      </c>
      <c r="BU51" s="209">
        <f t="shared" si="16"/>
        <v>1</v>
      </c>
      <c r="BV51" s="209">
        <f t="shared" si="16"/>
        <v>1</v>
      </c>
      <c r="BW51" s="209">
        <f t="shared" si="16"/>
        <v>2</v>
      </c>
      <c r="BX51" s="209">
        <f t="shared" si="16"/>
        <v>1</v>
      </c>
      <c r="BY51" s="209">
        <f t="shared" si="16"/>
        <v>1</v>
      </c>
      <c r="BZ51" s="209">
        <f t="shared" si="16"/>
        <v>1</v>
      </c>
      <c r="CA51" s="209">
        <f t="shared" si="16"/>
        <v>2</v>
      </c>
      <c r="CB51" s="209">
        <f t="shared" si="16"/>
        <v>1</v>
      </c>
      <c r="CC51" s="2130">
        <f t="shared" si="16"/>
        <v>0</v>
      </c>
      <c r="CD51" s="2129">
        <f t="shared" si="16"/>
        <v>1</v>
      </c>
      <c r="CE51" s="209">
        <f t="shared" si="16"/>
        <v>1</v>
      </c>
      <c r="CF51" s="209">
        <f t="shared" si="16"/>
        <v>1</v>
      </c>
      <c r="CG51" s="209">
        <f t="shared" si="16"/>
        <v>1</v>
      </c>
      <c r="CH51" s="209">
        <f t="shared" si="16"/>
        <v>1</v>
      </c>
      <c r="CI51" s="209">
        <f t="shared" si="16"/>
        <v>2</v>
      </c>
      <c r="CJ51" s="209">
        <f t="shared" si="16"/>
        <v>1</v>
      </c>
      <c r="CK51" s="209">
        <f t="shared" si="16"/>
        <v>2</v>
      </c>
      <c r="CL51" s="2130">
        <f t="shared" si="16"/>
        <v>3</v>
      </c>
      <c r="CM51" s="2129">
        <f t="shared" si="16"/>
        <v>1</v>
      </c>
      <c r="CN51" s="209">
        <f t="shared" si="16"/>
        <v>1</v>
      </c>
      <c r="CO51" s="209">
        <f t="shared" si="16"/>
        <v>1</v>
      </c>
      <c r="CP51" s="209">
        <f t="shared" si="16"/>
        <v>1</v>
      </c>
      <c r="CQ51" s="209">
        <f t="shared" si="16"/>
        <v>1</v>
      </c>
      <c r="CR51" s="2130">
        <f t="shared" si="16"/>
        <v>1</v>
      </c>
      <c r="CS51" s="2129">
        <f t="shared" si="16"/>
        <v>1</v>
      </c>
      <c r="CT51" s="209">
        <f t="shared" si="16"/>
        <v>1</v>
      </c>
      <c r="CU51" s="209">
        <f t="shared" si="16"/>
        <v>1</v>
      </c>
      <c r="CV51" s="209">
        <f t="shared" si="16"/>
        <v>3</v>
      </c>
      <c r="CW51" s="209">
        <f t="shared" si="16"/>
        <v>2</v>
      </c>
      <c r="CX51" s="209">
        <f t="shared" si="16"/>
        <v>1</v>
      </c>
      <c r="CY51" s="2130">
        <f t="shared" si="16"/>
        <v>1</v>
      </c>
      <c r="CZ51" s="2129">
        <f t="shared" si="16"/>
        <v>1</v>
      </c>
      <c r="DA51" s="209">
        <f t="shared" si="16"/>
        <v>5</v>
      </c>
      <c r="DB51" s="209">
        <f t="shared" si="16"/>
        <v>1</v>
      </c>
      <c r="DC51" s="209">
        <f t="shared" si="16"/>
        <v>1</v>
      </c>
      <c r="DD51" s="209">
        <f t="shared" si="16"/>
        <v>1</v>
      </c>
      <c r="DE51" s="209">
        <f t="shared" si="16"/>
        <v>1</v>
      </c>
      <c r="DF51" s="209">
        <f t="shared" si="16"/>
        <v>1</v>
      </c>
      <c r="DG51" s="2130">
        <f t="shared" si="16"/>
        <v>1</v>
      </c>
      <c r="DH51" s="2129">
        <f t="shared" si="16"/>
        <v>2</v>
      </c>
      <c r="DI51" s="209">
        <f t="shared" si="16"/>
        <v>1</v>
      </c>
      <c r="DJ51" s="209">
        <f t="shared" si="16"/>
        <v>1</v>
      </c>
      <c r="DK51" s="209">
        <f t="shared" si="16"/>
        <v>1</v>
      </c>
      <c r="DL51" s="2130">
        <f t="shared" si="16"/>
        <v>1</v>
      </c>
      <c r="DM51" s="2129">
        <f t="shared" si="16"/>
        <v>1</v>
      </c>
      <c r="DN51" s="209">
        <f t="shared" si="16"/>
        <v>7</v>
      </c>
      <c r="DO51" s="209">
        <f t="shared" si="16"/>
        <v>1</v>
      </c>
      <c r="DP51" s="2130">
        <f t="shared" si="16"/>
        <v>1</v>
      </c>
      <c r="DQ51" s="2129">
        <f t="shared" si="16"/>
        <v>1</v>
      </c>
      <c r="DR51" s="209">
        <f t="shared" si="16"/>
        <v>3</v>
      </c>
      <c r="DS51" s="210">
        <f t="shared" si="16"/>
        <v>1</v>
      </c>
      <c r="DT51" s="208">
        <f t="shared" si="16"/>
        <v>1</v>
      </c>
      <c r="DU51" s="209">
        <f t="shared" si="16"/>
        <v>1</v>
      </c>
      <c r="DV51" s="209">
        <f t="shared" si="16"/>
        <v>0</v>
      </c>
      <c r="DW51" s="209">
        <f t="shared" si="16"/>
        <v>1</v>
      </c>
      <c r="DX51" s="210">
        <f t="shared" si="16"/>
        <v>2</v>
      </c>
      <c r="DY51" s="208">
        <f t="shared" si="16"/>
        <v>1</v>
      </c>
      <c r="DZ51" s="208">
        <f t="shared" si="16"/>
        <v>1</v>
      </c>
      <c r="EA51" s="209">
        <f t="shared" si="16"/>
        <v>1</v>
      </c>
      <c r="EB51" s="209">
        <f t="shared" si="16"/>
        <v>0</v>
      </c>
      <c r="EC51" s="209">
        <f t="shared" si="16"/>
        <v>1</v>
      </c>
      <c r="ED51" s="2131">
        <f t="shared" si="16"/>
        <v>1</v>
      </c>
      <c r="EE51" s="208">
        <f t="shared" si="16"/>
        <v>1</v>
      </c>
      <c r="EF51" s="209">
        <f t="shared" si="16"/>
        <v>1</v>
      </c>
      <c r="EG51" s="209">
        <f t="shared" si="16"/>
        <v>1</v>
      </c>
      <c r="EH51" s="209">
        <f t="shared" si="16"/>
        <v>0</v>
      </c>
      <c r="EI51" s="2131">
        <f t="shared" si="16"/>
        <v>1</v>
      </c>
    </row>
    <row r="52" ht="18.75" customHeight="1">
      <c r="A52" s="44"/>
      <c r="B52" s="211" t="s">
        <v>121</v>
      </c>
      <c r="C52" s="44"/>
      <c r="D52" s="212">
        <f t="shared" ref="D52:H52" si="17">COUNTIF(D5:D47,"NG")</f>
        <v>3</v>
      </c>
      <c r="E52" s="213">
        <f t="shared" si="17"/>
        <v>3</v>
      </c>
      <c r="F52" s="213">
        <f t="shared" si="17"/>
        <v>3</v>
      </c>
      <c r="G52" s="213">
        <f t="shared" si="17"/>
        <v>3</v>
      </c>
      <c r="H52" s="213">
        <f t="shared" si="17"/>
        <v>3</v>
      </c>
      <c r="I52" s="2132">
        <v>6.0</v>
      </c>
      <c r="J52" s="2133">
        <f t="shared" ref="J52:EI52" si="18">COUNTIF(J5:J47,"NG")</f>
        <v>5</v>
      </c>
      <c r="K52" s="213">
        <f t="shared" si="18"/>
        <v>5</v>
      </c>
      <c r="L52" s="213">
        <f t="shared" si="18"/>
        <v>5</v>
      </c>
      <c r="M52" s="213">
        <f t="shared" si="18"/>
        <v>5</v>
      </c>
      <c r="N52" s="213">
        <f t="shared" si="18"/>
        <v>5</v>
      </c>
      <c r="O52" s="2134">
        <f t="shared" si="18"/>
        <v>5</v>
      </c>
      <c r="P52" s="2133">
        <f t="shared" si="18"/>
        <v>3</v>
      </c>
      <c r="Q52" s="213">
        <f t="shared" si="18"/>
        <v>3</v>
      </c>
      <c r="R52" s="213">
        <f t="shared" si="18"/>
        <v>3</v>
      </c>
      <c r="S52" s="213">
        <f t="shared" si="18"/>
        <v>3</v>
      </c>
      <c r="T52" s="213">
        <f t="shared" si="18"/>
        <v>3</v>
      </c>
      <c r="U52" s="213">
        <f t="shared" si="18"/>
        <v>3</v>
      </c>
      <c r="V52" s="213">
        <f t="shared" si="18"/>
        <v>3</v>
      </c>
      <c r="W52" s="2134">
        <f t="shared" si="18"/>
        <v>3</v>
      </c>
      <c r="X52" s="2133">
        <f t="shared" si="18"/>
        <v>2</v>
      </c>
      <c r="Y52" s="213">
        <f t="shared" si="18"/>
        <v>2</v>
      </c>
      <c r="Z52" s="213">
        <f t="shared" si="18"/>
        <v>2</v>
      </c>
      <c r="AA52" s="213">
        <f t="shared" si="18"/>
        <v>2</v>
      </c>
      <c r="AB52" s="213">
        <f t="shared" si="18"/>
        <v>2</v>
      </c>
      <c r="AC52" s="213">
        <f t="shared" si="18"/>
        <v>2</v>
      </c>
      <c r="AD52" s="2134">
        <f t="shared" si="18"/>
        <v>2</v>
      </c>
      <c r="AE52" s="2133">
        <f t="shared" si="18"/>
        <v>4</v>
      </c>
      <c r="AF52" s="213">
        <f t="shared" si="18"/>
        <v>4</v>
      </c>
      <c r="AG52" s="213">
        <f t="shared" si="18"/>
        <v>4</v>
      </c>
      <c r="AH52" s="213">
        <f t="shared" si="18"/>
        <v>4</v>
      </c>
      <c r="AI52" s="213">
        <f t="shared" si="18"/>
        <v>4</v>
      </c>
      <c r="AJ52" s="213">
        <f t="shared" si="18"/>
        <v>4</v>
      </c>
      <c r="AK52" s="213">
        <f t="shared" si="18"/>
        <v>4</v>
      </c>
      <c r="AL52" s="213">
        <f t="shared" si="18"/>
        <v>4</v>
      </c>
      <c r="AM52" s="2134">
        <f t="shared" si="18"/>
        <v>4</v>
      </c>
      <c r="AN52" s="2133">
        <f t="shared" si="18"/>
        <v>8</v>
      </c>
      <c r="AO52" s="213">
        <f t="shared" si="18"/>
        <v>8</v>
      </c>
      <c r="AP52" s="213">
        <f t="shared" si="18"/>
        <v>8</v>
      </c>
      <c r="AQ52" s="213">
        <f t="shared" si="18"/>
        <v>8</v>
      </c>
      <c r="AR52" s="213">
        <f t="shared" si="18"/>
        <v>8</v>
      </c>
      <c r="AS52" s="213">
        <f t="shared" si="18"/>
        <v>8</v>
      </c>
      <c r="AT52" s="213">
        <f t="shared" si="18"/>
        <v>8</v>
      </c>
      <c r="AU52" s="213">
        <f t="shared" si="18"/>
        <v>8</v>
      </c>
      <c r="AV52" s="2134">
        <f t="shared" si="18"/>
        <v>8</v>
      </c>
      <c r="AW52" s="2133">
        <f t="shared" si="18"/>
        <v>6</v>
      </c>
      <c r="AX52" s="213">
        <f t="shared" si="18"/>
        <v>5</v>
      </c>
      <c r="AY52" s="213">
        <f t="shared" si="18"/>
        <v>5</v>
      </c>
      <c r="AZ52" s="213">
        <f t="shared" si="18"/>
        <v>5</v>
      </c>
      <c r="BA52" s="213">
        <f t="shared" si="18"/>
        <v>5</v>
      </c>
      <c r="BB52" s="213">
        <f t="shared" si="18"/>
        <v>5</v>
      </c>
      <c r="BC52" s="2134">
        <f t="shared" si="18"/>
        <v>5</v>
      </c>
      <c r="BD52" s="2133">
        <f t="shared" si="18"/>
        <v>6</v>
      </c>
      <c r="BE52" s="213">
        <f t="shared" si="18"/>
        <v>6</v>
      </c>
      <c r="BF52" s="213">
        <f t="shared" si="18"/>
        <v>6</v>
      </c>
      <c r="BG52" s="213">
        <f t="shared" si="18"/>
        <v>6</v>
      </c>
      <c r="BH52" s="213">
        <f t="shared" si="18"/>
        <v>6</v>
      </c>
      <c r="BI52" s="213">
        <f t="shared" si="18"/>
        <v>6</v>
      </c>
      <c r="BJ52" s="213">
        <f t="shared" si="18"/>
        <v>6</v>
      </c>
      <c r="BK52" s="213">
        <f t="shared" si="18"/>
        <v>6</v>
      </c>
      <c r="BL52" s="213">
        <f t="shared" si="18"/>
        <v>6</v>
      </c>
      <c r="BM52" s="213">
        <f t="shared" si="18"/>
        <v>6</v>
      </c>
      <c r="BN52" s="213">
        <f t="shared" si="18"/>
        <v>6</v>
      </c>
      <c r="BO52" s="213">
        <f t="shared" si="18"/>
        <v>6</v>
      </c>
      <c r="BP52" s="213">
        <f t="shared" si="18"/>
        <v>6</v>
      </c>
      <c r="BQ52" s="2134">
        <f t="shared" si="18"/>
        <v>10</v>
      </c>
      <c r="BR52" s="2133">
        <f t="shared" si="18"/>
        <v>8</v>
      </c>
      <c r="BS52" s="213">
        <f t="shared" si="18"/>
        <v>8</v>
      </c>
      <c r="BT52" s="213">
        <f t="shared" si="18"/>
        <v>8</v>
      </c>
      <c r="BU52" s="213">
        <f t="shared" si="18"/>
        <v>8</v>
      </c>
      <c r="BV52" s="213">
        <f t="shared" si="18"/>
        <v>8</v>
      </c>
      <c r="BW52" s="213">
        <f t="shared" si="18"/>
        <v>8</v>
      </c>
      <c r="BX52" s="213">
        <f t="shared" si="18"/>
        <v>8</v>
      </c>
      <c r="BY52" s="213">
        <f t="shared" si="18"/>
        <v>8</v>
      </c>
      <c r="BZ52" s="213">
        <f t="shared" si="18"/>
        <v>8</v>
      </c>
      <c r="CA52" s="213">
        <f t="shared" si="18"/>
        <v>8</v>
      </c>
      <c r="CB52" s="213">
        <f t="shared" si="18"/>
        <v>8</v>
      </c>
      <c r="CC52" s="2134">
        <f t="shared" si="18"/>
        <v>8</v>
      </c>
      <c r="CD52" s="2133">
        <f t="shared" si="18"/>
        <v>6</v>
      </c>
      <c r="CE52" s="213">
        <f t="shared" si="18"/>
        <v>6</v>
      </c>
      <c r="CF52" s="213">
        <f t="shared" si="18"/>
        <v>6</v>
      </c>
      <c r="CG52" s="213">
        <f t="shared" si="18"/>
        <v>6</v>
      </c>
      <c r="CH52" s="213">
        <f t="shared" si="18"/>
        <v>6</v>
      </c>
      <c r="CI52" s="213">
        <f t="shared" si="18"/>
        <v>6</v>
      </c>
      <c r="CJ52" s="213">
        <f t="shared" si="18"/>
        <v>6</v>
      </c>
      <c r="CK52" s="213">
        <f t="shared" si="18"/>
        <v>6</v>
      </c>
      <c r="CL52" s="2134">
        <f t="shared" si="18"/>
        <v>6</v>
      </c>
      <c r="CM52" s="2133">
        <f t="shared" si="18"/>
        <v>7</v>
      </c>
      <c r="CN52" s="213">
        <f t="shared" si="18"/>
        <v>7</v>
      </c>
      <c r="CO52" s="213">
        <f t="shared" si="18"/>
        <v>7</v>
      </c>
      <c r="CP52" s="213">
        <f t="shared" si="18"/>
        <v>7</v>
      </c>
      <c r="CQ52" s="213">
        <f t="shared" si="18"/>
        <v>7</v>
      </c>
      <c r="CR52" s="2134">
        <f t="shared" si="18"/>
        <v>7</v>
      </c>
      <c r="CS52" s="2133">
        <f t="shared" si="18"/>
        <v>4</v>
      </c>
      <c r="CT52" s="213">
        <f t="shared" si="18"/>
        <v>4</v>
      </c>
      <c r="CU52" s="213">
        <f t="shared" si="18"/>
        <v>4</v>
      </c>
      <c r="CV52" s="213">
        <f t="shared" si="18"/>
        <v>4</v>
      </c>
      <c r="CW52" s="213">
        <f t="shared" si="18"/>
        <v>4</v>
      </c>
      <c r="CX52" s="213">
        <f t="shared" si="18"/>
        <v>4</v>
      </c>
      <c r="CY52" s="2134">
        <f t="shared" si="18"/>
        <v>4</v>
      </c>
      <c r="CZ52" s="2133">
        <f t="shared" si="18"/>
        <v>6</v>
      </c>
      <c r="DA52" s="213">
        <f t="shared" si="18"/>
        <v>6</v>
      </c>
      <c r="DB52" s="213">
        <f t="shared" si="18"/>
        <v>6</v>
      </c>
      <c r="DC52" s="213">
        <f t="shared" si="18"/>
        <v>6</v>
      </c>
      <c r="DD52" s="213">
        <f t="shared" si="18"/>
        <v>6</v>
      </c>
      <c r="DE52" s="213">
        <f t="shared" si="18"/>
        <v>6</v>
      </c>
      <c r="DF52" s="213">
        <f t="shared" si="18"/>
        <v>6</v>
      </c>
      <c r="DG52" s="2134">
        <f t="shared" si="18"/>
        <v>6</v>
      </c>
      <c r="DH52" s="2133">
        <f t="shared" si="18"/>
        <v>6</v>
      </c>
      <c r="DI52" s="213">
        <f t="shared" si="18"/>
        <v>6</v>
      </c>
      <c r="DJ52" s="213">
        <f t="shared" si="18"/>
        <v>6</v>
      </c>
      <c r="DK52" s="213">
        <f t="shared" si="18"/>
        <v>6</v>
      </c>
      <c r="DL52" s="2134">
        <f t="shared" si="18"/>
        <v>6</v>
      </c>
      <c r="DM52" s="2133">
        <f t="shared" si="18"/>
        <v>5</v>
      </c>
      <c r="DN52" s="213">
        <f t="shared" si="18"/>
        <v>5</v>
      </c>
      <c r="DO52" s="213">
        <f t="shared" si="18"/>
        <v>5</v>
      </c>
      <c r="DP52" s="2134">
        <f t="shared" si="18"/>
        <v>5</v>
      </c>
      <c r="DQ52" s="2133">
        <f t="shared" si="18"/>
        <v>9</v>
      </c>
      <c r="DR52" s="213">
        <f t="shared" si="18"/>
        <v>9</v>
      </c>
      <c r="DS52" s="214">
        <f t="shared" si="18"/>
        <v>9</v>
      </c>
      <c r="DT52" s="212">
        <f t="shared" si="18"/>
        <v>1</v>
      </c>
      <c r="DU52" s="213">
        <f t="shared" si="18"/>
        <v>1</v>
      </c>
      <c r="DV52" s="213">
        <f t="shared" si="18"/>
        <v>1</v>
      </c>
      <c r="DW52" s="213">
        <f t="shared" si="18"/>
        <v>1</v>
      </c>
      <c r="DX52" s="214">
        <f t="shared" si="18"/>
        <v>1</v>
      </c>
      <c r="DY52" s="212">
        <f t="shared" si="18"/>
        <v>4</v>
      </c>
      <c r="DZ52" s="212">
        <f t="shared" si="18"/>
        <v>4</v>
      </c>
      <c r="EA52" s="213">
        <f t="shared" si="18"/>
        <v>4</v>
      </c>
      <c r="EB52" s="213">
        <f t="shared" si="18"/>
        <v>4</v>
      </c>
      <c r="EC52" s="213">
        <f t="shared" si="18"/>
        <v>4</v>
      </c>
      <c r="ED52" s="2135">
        <f t="shared" si="18"/>
        <v>4</v>
      </c>
      <c r="EE52" s="212">
        <f t="shared" si="18"/>
        <v>6</v>
      </c>
      <c r="EF52" s="213">
        <f t="shared" si="18"/>
        <v>6</v>
      </c>
      <c r="EG52" s="213">
        <f t="shared" si="18"/>
        <v>6</v>
      </c>
      <c r="EH52" s="213">
        <f t="shared" si="18"/>
        <v>6</v>
      </c>
      <c r="EI52" s="2135">
        <f t="shared" si="18"/>
        <v>6</v>
      </c>
    </row>
    <row r="53" ht="18.75" customHeight="1">
      <c r="A53" s="44"/>
      <c r="B53" s="215" t="s">
        <v>122</v>
      </c>
      <c r="C53" s="44"/>
      <c r="D53" s="218">
        <f t="shared" ref="D53:EI53" si="19">SUM(D49:D52)</f>
        <v>25</v>
      </c>
      <c r="E53" s="216">
        <f t="shared" si="19"/>
        <v>25</v>
      </c>
      <c r="F53" s="216">
        <f t="shared" si="19"/>
        <v>25</v>
      </c>
      <c r="G53" s="216">
        <f t="shared" si="19"/>
        <v>25</v>
      </c>
      <c r="H53" s="216">
        <f t="shared" si="19"/>
        <v>25</v>
      </c>
      <c r="I53" s="2136">
        <f t="shared" si="19"/>
        <v>25</v>
      </c>
      <c r="J53" s="2137">
        <f t="shared" si="19"/>
        <v>25</v>
      </c>
      <c r="K53" s="216">
        <f t="shared" si="19"/>
        <v>25</v>
      </c>
      <c r="L53" s="216">
        <f t="shared" si="19"/>
        <v>25</v>
      </c>
      <c r="M53" s="216">
        <f t="shared" si="19"/>
        <v>25</v>
      </c>
      <c r="N53" s="216">
        <f t="shared" si="19"/>
        <v>25</v>
      </c>
      <c r="O53" s="2136">
        <f t="shared" si="19"/>
        <v>25</v>
      </c>
      <c r="P53" s="2137">
        <f t="shared" si="19"/>
        <v>25</v>
      </c>
      <c r="Q53" s="216">
        <f t="shared" si="19"/>
        <v>25</v>
      </c>
      <c r="R53" s="216">
        <f t="shared" si="19"/>
        <v>25</v>
      </c>
      <c r="S53" s="216">
        <f t="shared" si="19"/>
        <v>25</v>
      </c>
      <c r="T53" s="216">
        <f t="shared" si="19"/>
        <v>25</v>
      </c>
      <c r="U53" s="216">
        <f t="shared" si="19"/>
        <v>25</v>
      </c>
      <c r="V53" s="216">
        <f t="shared" si="19"/>
        <v>25</v>
      </c>
      <c r="W53" s="2136">
        <f t="shared" si="19"/>
        <v>25</v>
      </c>
      <c r="X53" s="2137">
        <f t="shared" si="19"/>
        <v>25</v>
      </c>
      <c r="Y53" s="216">
        <f t="shared" si="19"/>
        <v>25</v>
      </c>
      <c r="Z53" s="216">
        <f t="shared" si="19"/>
        <v>25</v>
      </c>
      <c r="AA53" s="216">
        <f t="shared" si="19"/>
        <v>25</v>
      </c>
      <c r="AB53" s="216">
        <f t="shared" si="19"/>
        <v>25</v>
      </c>
      <c r="AC53" s="216">
        <f t="shared" si="19"/>
        <v>25</v>
      </c>
      <c r="AD53" s="2136">
        <f t="shared" si="19"/>
        <v>25</v>
      </c>
      <c r="AE53" s="2137">
        <f t="shared" si="19"/>
        <v>25</v>
      </c>
      <c r="AF53" s="216">
        <f t="shared" si="19"/>
        <v>25</v>
      </c>
      <c r="AG53" s="216">
        <f t="shared" si="19"/>
        <v>25</v>
      </c>
      <c r="AH53" s="216">
        <f t="shared" si="19"/>
        <v>25</v>
      </c>
      <c r="AI53" s="216">
        <f t="shared" si="19"/>
        <v>25</v>
      </c>
      <c r="AJ53" s="216">
        <f t="shared" si="19"/>
        <v>25</v>
      </c>
      <c r="AK53" s="216">
        <f t="shared" si="19"/>
        <v>25</v>
      </c>
      <c r="AL53" s="216">
        <f t="shared" si="19"/>
        <v>25</v>
      </c>
      <c r="AM53" s="2136">
        <f t="shared" si="19"/>
        <v>25</v>
      </c>
      <c r="AN53" s="2137">
        <f t="shared" si="19"/>
        <v>24</v>
      </c>
      <c r="AO53" s="216">
        <f t="shared" si="19"/>
        <v>25</v>
      </c>
      <c r="AP53" s="216">
        <f t="shared" si="19"/>
        <v>25</v>
      </c>
      <c r="AQ53" s="216">
        <f t="shared" si="19"/>
        <v>25</v>
      </c>
      <c r="AR53" s="216">
        <f t="shared" si="19"/>
        <v>25</v>
      </c>
      <c r="AS53" s="216">
        <f t="shared" si="19"/>
        <v>25</v>
      </c>
      <c r="AT53" s="216">
        <f t="shared" si="19"/>
        <v>25</v>
      </c>
      <c r="AU53" s="216">
        <f t="shared" si="19"/>
        <v>25</v>
      </c>
      <c r="AV53" s="2136">
        <f t="shared" si="19"/>
        <v>25</v>
      </c>
      <c r="AW53" s="2137">
        <f t="shared" si="19"/>
        <v>26</v>
      </c>
      <c r="AX53" s="216">
        <f t="shared" si="19"/>
        <v>26</v>
      </c>
      <c r="AY53" s="216">
        <f t="shared" si="19"/>
        <v>26</v>
      </c>
      <c r="AZ53" s="216">
        <f t="shared" si="19"/>
        <v>26</v>
      </c>
      <c r="BA53" s="216">
        <f t="shared" si="19"/>
        <v>26</v>
      </c>
      <c r="BB53" s="216">
        <f t="shared" si="19"/>
        <v>26</v>
      </c>
      <c r="BC53" s="2136">
        <f t="shared" si="19"/>
        <v>26</v>
      </c>
      <c r="BD53" s="2137">
        <f t="shared" si="19"/>
        <v>26</v>
      </c>
      <c r="BE53" s="216">
        <f t="shared" si="19"/>
        <v>26</v>
      </c>
      <c r="BF53" s="216">
        <f t="shared" si="19"/>
        <v>26</v>
      </c>
      <c r="BG53" s="216">
        <f t="shared" si="19"/>
        <v>26</v>
      </c>
      <c r="BH53" s="216">
        <f t="shared" si="19"/>
        <v>26</v>
      </c>
      <c r="BI53" s="216">
        <f t="shared" si="19"/>
        <v>26</v>
      </c>
      <c r="BJ53" s="216">
        <f t="shared" si="19"/>
        <v>26</v>
      </c>
      <c r="BK53" s="216">
        <f t="shared" si="19"/>
        <v>26</v>
      </c>
      <c r="BL53" s="216">
        <f t="shared" si="19"/>
        <v>26</v>
      </c>
      <c r="BM53" s="216">
        <f t="shared" si="19"/>
        <v>26</v>
      </c>
      <c r="BN53" s="216">
        <f t="shared" si="19"/>
        <v>26</v>
      </c>
      <c r="BO53" s="216">
        <f t="shared" si="19"/>
        <v>26</v>
      </c>
      <c r="BP53" s="216">
        <f t="shared" si="19"/>
        <v>26</v>
      </c>
      <c r="BQ53" s="2136">
        <f t="shared" si="19"/>
        <v>26</v>
      </c>
      <c r="BR53" s="2137">
        <f t="shared" si="19"/>
        <v>25</v>
      </c>
      <c r="BS53" s="216">
        <f t="shared" si="19"/>
        <v>25</v>
      </c>
      <c r="BT53" s="216">
        <f t="shared" si="19"/>
        <v>25</v>
      </c>
      <c r="BU53" s="216">
        <f t="shared" si="19"/>
        <v>25</v>
      </c>
      <c r="BV53" s="216">
        <f t="shared" si="19"/>
        <v>25</v>
      </c>
      <c r="BW53" s="216">
        <f t="shared" si="19"/>
        <v>25</v>
      </c>
      <c r="BX53" s="216">
        <f t="shared" si="19"/>
        <v>25</v>
      </c>
      <c r="BY53" s="216">
        <f t="shared" si="19"/>
        <v>25</v>
      </c>
      <c r="BZ53" s="216">
        <f t="shared" si="19"/>
        <v>25</v>
      </c>
      <c r="CA53" s="216">
        <f t="shared" si="19"/>
        <v>25</v>
      </c>
      <c r="CB53" s="216">
        <f t="shared" si="19"/>
        <v>25</v>
      </c>
      <c r="CC53" s="2136">
        <f t="shared" si="19"/>
        <v>25</v>
      </c>
      <c r="CD53" s="2137">
        <f t="shared" si="19"/>
        <v>25</v>
      </c>
      <c r="CE53" s="216">
        <f t="shared" si="19"/>
        <v>25</v>
      </c>
      <c r="CF53" s="216">
        <f t="shared" si="19"/>
        <v>25</v>
      </c>
      <c r="CG53" s="216">
        <f t="shared" si="19"/>
        <v>25</v>
      </c>
      <c r="CH53" s="216">
        <f t="shared" si="19"/>
        <v>25</v>
      </c>
      <c r="CI53" s="216">
        <f t="shared" si="19"/>
        <v>25</v>
      </c>
      <c r="CJ53" s="216">
        <f t="shared" si="19"/>
        <v>25</v>
      </c>
      <c r="CK53" s="216">
        <f t="shared" si="19"/>
        <v>25</v>
      </c>
      <c r="CL53" s="2136">
        <f t="shared" si="19"/>
        <v>25</v>
      </c>
      <c r="CM53" s="2137">
        <f t="shared" si="19"/>
        <v>25</v>
      </c>
      <c r="CN53" s="216">
        <f t="shared" si="19"/>
        <v>25</v>
      </c>
      <c r="CO53" s="216">
        <f t="shared" si="19"/>
        <v>25</v>
      </c>
      <c r="CP53" s="216">
        <f t="shared" si="19"/>
        <v>25</v>
      </c>
      <c r="CQ53" s="216">
        <f t="shared" si="19"/>
        <v>25</v>
      </c>
      <c r="CR53" s="2136">
        <f t="shared" si="19"/>
        <v>25</v>
      </c>
      <c r="CS53" s="2137">
        <f t="shared" si="19"/>
        <v>25</v>
      </c>
      <c r="CT53" s="216">
        <f t="shared" si="19"/>
        <v>25</v>
      </c>
      <c r="CU53" s="216">
        <f t="shared" si="19"/>
        <v>25</v>
      </c>
      <c r="CV53" s="216">
        <f t="shared" si="19"/>
        <v>25</v>
      </c>
      <c r="CW53" s="216">
        <f t="shared" si="19"/>
        <v>25</v>
      </c>
      <c r="CX53" s="216">
        <f t="shared" si="19"/>
        <v>25</v>
      </c>
      <c r="CY53" s="2136">
        <f t="shared" si="19"/>
        <v>25</v>
      </c>
      <c r="CZ53" s="2137">
        <f t="shared" si="19"/>
        <v>25</v>
      </c>
      <c r="DA53" s="216">
        <f t="shared" si="19"/>
        <v>25</v>
      </c>
      <c r="DB53" s="216">
        <f t="shared" si="19"/>
        <v>25</v>
      </c>
      <c r="DC53" s="216">
        <f t="shared" si="19"/>
        <v>25</v>
      </c>
      <c r="DD53" s="216">
        <f t="shared" si="19"/>
        <v>25</v>
      </c>
      <c r="DE53" s="216">
        <f t="shared" si="19"/>
        <v>25</v>
      </c>
      <c r="DF53" s="216">
        <f t="shared" si="19"/>
        <v>25</v>
      </c>
      <c r="DG53" s="2136">
        <f t="shared" si="19"/>
        <v>25</v>
      </c>
      <c r="DH53" s="2137">
        <f t="shared" si="19"/>
        <v>25</v>
      </c>
      <c r="DI53" s="216">
        <f t="shared" si="19"/>
        <v>25</v>
      </c>
      <c r="DJ53" s="216">
        <f t="shared" si="19"/>
        <v>25</v>
      </c>
      <c r="DK53" s="216">
        <f t="shared" si="19"/>
        <v>25</v>
      </c>
      <c r="DL53" s="2136">
        <f t="shared" si="19"/>
        <v>25</v>
      </c>
      <c r="DM53" s="2137">
        <f t="shared" si="19"/>
        <v>25</v>
      </c>
      <c r="DN53" s="216">
        <f t="shared" si="19"/>
        <v>25</v>
      </c>
      <c r="DO53" s="216">
        <f t="shared" si="19"/>
        <v>25</v>
      </c>
      <c r="DP53" s="2136">
        <f t="shared" si="19"/>
        <v>25</v>
      </c>
      <c r="DQ53" s="2137">
        <f t="shared" si="19"/>
        <v>25</v>
      </c>
      <c r="DR53" s="216">
        <f t="shared" si="19"/>
        <v>25</v>
      </c>
      <c r="DS53" s="217">
        <f t="shared" si="19"/>
        <v>25</v>
      </c>
      <c r="DT53" s="218">
        <f t="shared" si="19"/>
        <v>25</v>
      </c>
      <c r="DU53" s="216">
        <f t="shared" si="19"/>
        <v>25</v>
      </c>
      <c r="DV53" s="216">
        <f t="shared" si="19"/>
        <v>25</v>
      </c>
      <c r="DW53" s="216">
        <f t="shared" si="19"/>
        <v>25</v>
      </c>
      <c r="DX53" s="217">
        <f t="shared" si="19"/>
        <v>25</v>
      </c>
      <c r="DY53" s="218">
        <f t="shared" si="19"/>
        <v>25</v>
      </c>
      <c r="DZ53" s="218">
        <f t="shared" si="19"/>
        <v>25</v>
      </c>
      <c r="EA53" s="216">
        <f t="shared" si="19"/>
        <v>25</v>
      </c>
      <c r="EB53" s="216">
        <f t="shared" si="19"/>
        <v>25</v>
      </c>
      <c r="EC53" s="216">
        <f t="shared" si="19"/>
        <v>25</v>
      </c>
      <c r="ED53" s="2138">
        <f t="shared" si="19"/>
        <v>25</v>
      </c>
      <c r="EE53" s="218">
        <f t="shared" si="19"/>
        <v>25</v>
      </c>
      <c r="EF53" s="216">
        <f t="shared" si="19"/>
        <v>25</v>
      </c>
      <c r="EG53" s="216">
        <f t="shared" si="19"/>
        <v>25</v>
      </c>
      <c r="EH53" s="216">
        <f t="shared" si="19"/>
        <v>25</v>
      </c>
      <c r="EI53" s="2138">
        <f t="shared" si="19"/>
        <v>25</v>
      </c>
    </row>
    <row r="54" ht="18.75" customHeight="1">
      <c r="A54" s="44"/>
      <c r="B54" s="224" t="s">
        <v>124</v>
      </c>
      <c r="C54" s="44"/>
      <c r="D54" s="225">
        <f t="shared" ref="D54:EI54" si="20">D49+D50+D51</f>
        <v>22</v>
      </c>
      <c r="E54" s="226">
        <f t="shared" si="20"/>
        <v>22</v>
      </c>
      <c r="F54" s="226">
        <f t="shared" si="20"/>
        <v>22</v>
      </c>
      <c r="G54" s="226">
        <f t="shared" si="20"/>
        <v>22</v>
      </c>
      <c r="H54" s="226">
        <f t="shared" si="20"/>
        <v>22</v>
      </c>
      <c r="I54" s="2139">
        <f t="shared" si="20"/>
        <v>19</v>
      </c>
      <c r="J54" s="2140">
        <f t="shared" si="20"/>
        <v>20</v>
      </c>
      <c r="K54" s="226">
        <f t="shared" si="20"/>
        <v>20</v>
      </c>
      <c r="L54" s="226">
        <f t="shared" si="20"/>
        <v>20</v>
      </c>
      <c r="M54" s="226">
        <f t="shared" si="20"/>
        <v>20</v>
      </c>
      <c r="N54" s="226">
        <f t="shared" si="20"/>
        <v>20</v>
      </c>
      <c r="O54" s="2139">
        <f t="shared" si="20"/>
        <v>20</v>
      </c>
      <c r="P54" s="2140">
        <f t="shared" si="20"/>
        <v>22</v>
      </c>
      <c r="Q54" s="226">
        <f t="shared" si="20"/>
        <v>22</v>
      </c>
      <c r="R54" s="226">
        <f t="shared" si="20"/>
        <v>22</v>
      </c>
      <c r="S54" s="226">
        <f t="shared" si="20"/>
        <v>22</v>
      </c>
      <c r="T54" s="226">
        <f t="shared" si="20"/>
        <v>22</v>
      </c>
      <c r="U54" s="226">
        <f t="shared" si="20"/>
        <v>22</v>
      </c>
      <c r="V54" s="226">
        <f t="shared" si="20"/>
        <v>22</v>
      </c>
      <c r="W54" s="2139">
        <f t="shared" si="20"/>
        <v>22</v>
      </c>
      <c r="X54" s="2140">
        <f t="shared" si="20"/>
        <v>23</v>
      </c>
      <c r="Y54" s="226">
        <f t="shared" si="20"/>
        <v>23</v>
      </c>
      <c r="Z54" s="226">
        <f t="shared" si="20"/>
        <v>23</v>
      </c>
      <c r="AA54" s="226">
        <f t="shared" si="20"/>
        <v>23</v>
      </c>
      <c r="AB54" s="226">
        <f t="shared" si="20"/>
        <v>23</v>
      </c>
      <c r="AC54" s="226">
        <f t="shared" si="20"/>
        <v>23</v>
      </c>
      <c r="AD54" s="2139">
        <f t="shared" si="20"/>
        <v>23</v>
      </c>
      <c r="AE54" s="2140">
        <f t="shared" si="20"/>
        <v>21</v>
      </c>
      <c r="AF54" s="226">
        <f t="shared" si="20"/>
        <v>21</v>
      </c>
      <c r="AG54" s="226">
        <f t="shared" si="20"/>
        <v>21</v>
      </c>
      <c r="AH54" s="226">
        <f t="shared" si="20"/>
        <v>21</v>
      </c>
      <c r="AI54" s="226">
        <f t="shared" si="20"/>
        <v>21</v>
      </c>
      <c r="AJ54" s="226">
        <f t="shared" si="20"/>
        <v>21</v>
      </c>
      <c r="AK54" s="226">
        <f t="shared" si="20"/>
        <v>21</v>
      </c>
      <c r="AL54" s="226">
        <f t="shared" si="20"/>
        <v>21</v>
      </c>
      <c r="AM54" s="2139">
        <f t="shared" si="20"/>
        <v>21</v>
      </c>
      <c r="AN54" s="2140">
        <f t="shared" si="20"/>
        <v>16</v>
      </c>
      <c r="AO54" s="226">
        <f t="shared" si="20"/>
        <v>17</v>
      </c>
      <c r="AP54" s="226">
        <f t="shared" si="20"/>
        <v>17</v>
      </c>
      <c r="AQ54" s="226">
        <f t="shared" si="20"/>
        <v>17</v>
      </c>
      <c r="AR54" s="226">
        <f t="shared" si="20"/>
        <v>17</v>
      </c>
      <c r="AS54" s="226">
        <f t="shared" si="20"/>
        <v>17</v>
      </c>
      <c r="AT54" s="226">
        <f t="shared" si="20"/>
        <v>17</v>
      </c>
      <c r="AU54" s="226">
        <f t="shared" si="20"/>
        <v>17</v>
      </c>
      <c r="AV54" s="2139">
        <f t="shared" si="20"/>
        <v>17</v>
      </c>
      <c r="AW54" s="2140">
        <f t="shared" si="20"/>
        <v>20</v>
      </c>
      <c r="AX54" s="226">
        <f t="shared" si="20"/>
        <v>21</v>
      </c>
      <c r="AY54" s="226">
        <f t="shared" si="20"/>
        <v>21</v>
      </c>
      <c r="AZ54" s="226">
        <f t="shared" si="20"/>
        <v>21</v>
      </c>
      <c r="BA54" s="226">
        <f t="shared" si="20"/>
        <v>21</v>
      </c>
      <c r="BB54" s="226">
        <f t="shared" si="20"/>
        <v>21</v>
      </c>
      <c r="BC54" s="2139">
        <f t="shared" si="20"/>
        <v>21</v>
      </c>
      <c r="BD54" s="2140">
        <f t="shared" si="20"/>
        <v>20</v>
      </c>
      <c r="BE54" s="226">
        <f t="shared" si="20"/>
        <v>20</v>
      </c>
      <c r="BF54" s="226">
        <f t="shared" si="20"/>
        <v>20</v>
      </c>
      <c r="BG54" s="226">
        <f t="shared" si="20"/>
        <v>20</v>
      </c>
      <c r="BH54" s="226">
        <f t="shared" si="20"/>
        <v>20</v>
      </c>
      <c r="BI54" s="226">
        <f t="shared" si="20"/>
        <v>20</v>
      </c>
      <c r="BJ54" s="226">
        <f t="shared" si="20"/>
        <v>20</v>
      </c>
      <c r="BK54" s="226">
        <f t="shared" si="20"/>
        <v>20</v>
      </c>
      <c r="BL54" s="226">
        <f t="shared" si="20"/>
        <v>20</v>
      </c>
      <c r="BM54" s="226">
        <f t="shared" si="20"/>
        <v>20</v>
      </c>
      <c r="BN54" s="226">
        <f t="shared" si="20"/>
        <v>20</v>
      </c>
      <c r="BO54" s="226">
        <f t="shared" si="20"/>
        <v>20</v>
      </c>
      <c r="BP54" s="226">
        <f t="shared" si="20"/>
        <v>20</v>
      </c>
      <c r="BQ54" s="2139">
        <f t="shared" si="20"/>
        <v>16</v>
      </c>
      <c r="BR54" s="2140">
        <f t="shared" si="20"/>
        <v>17</v>
      </c>
      <c r="BS54" s="226">
        <f t="shared" si="20"/>
        <v>17</v>
      </c>
      <c r="BT54" s="226">
        <f t="shared" si="20"/>
        <v>17</v>
      </c>
      <c r="BU54" s="226">
        <f t="shared" si="20"/>
        <v>17</v>
      </c>
      <c r="BV54" s="226">
        <f t="shared" si="20"/>
        <v>17</v>
      </c>
      <c r="BW54" s="226">
        <f t="shared" si="20"/>
        <v>17</v>
      </c>
      <c r="BX54" s="226">
        <f t="shared" si="20"/>
        <v>17</v>
      </c>
      <c r="BY54" s="226">
        <f t="shared" si="20"/>
        <v>17</v>
      </c>
      <c r="BZ54" s="226">
        <f t="shared" si="20"/>
        <v>17</v>
      </c>
      <c r="CA54" s="226">
        <f t="shared" si="20"/>
        <v>17</v>
      </c>
      <c r="CB54" s="226">
        <f t="shared" si="20"/>
        <v>17</v>
      </c>
      <c r="CC54" s="2139">
        <f t="shared" si="20"/>
        <v>17</v>
      </c>
      <c r="CD54" s="2140">
        <f t="shared" si="20"/>
        <v>19</v>
      </c>
      <c r="CE54" s="226">
        <f t="shared" si="20"/>
        <v>19</v>
      </c>
      <c r="CF54" s="226">
        <f t="shared" si="20"/>
        <v>19</v>
      </c>
      <c r="CG54" s="226">
        <f t="shared" si="20"/>
        <v>19</v>
      </c>
      <c r="CH54" s="226">
        <f t="shared" si="20"/>
        <v>19</v>
      </c>
      <c r="CI54" s="226">
        <f t="shared" si="20"/>
        <v>19</v>
      </c>
      <c r="CJ54" s="226">
        <f t="shared" si="20"/>
        <v>19</v>
      </c>
      <c r="CK54" s="226">
        <f t="shared" si="20"/>
        <v>19</v>
      </c>
      <c r="CL54" s="2139">
        <f t="shared" si="20"/>
        <v>19</v>
      </c>
      <c r="CM54" s="2140">
        <f t="shared" si="20"/>
        <v>18</v>
      </c>
      <c r="CN54" s="226">
        <f t="shared" si="20"/>
        <v>18</v>
      </c>
      <c r="CO54" s="226">
        <f t="shared" si="20"/>
        <v>18</v>
      </c>
      <c r="CP54" s="226">
        <f t="shared" si="20"/>
        <v>18</v>
      </c>
      <c r="CQ54" s="226">
        <f t="shared" si="20"/>
        <v>18</v>
      </c>
      <c r="CR54" s="2139">
        <f t="shared" si="20"/>
        <v>18</v>
      </c>
      <c r="CS54" s="2140">
        <f t="shared" si="20"/>
        <v>21</v>
      </c>
      <c r="CT54" s="226">
        <f t="shared" si="20"/>
        <v>21</v>
      </c>
      <c r="CU54" s="226">
        <f t="shared" si="20"/>
        <v>21</v>
      </c>
      <c r="CV54" s="226">
        <f t="shared" si="20"/>
        <v>21</v>
      </c>
      <c r="CW54" s="226">
        <f t="shared" si="20"/>
        <v>21</v>
      </c>
      <c r="CX54" s="226">
        <f t="shared" si="20"/>
        <v>21</v>
      </c>
      <c r="CY54" s="2139">
        <f t="shared" si="20"/>
        <v>21</v>
      </c>
      <c r="CZ54" s="2140">
        <f t="shared" si="20"/>
        <v>19</v>
      </c>
      <c r="DA54" s="226">
        <f t="shared" si="20"/>
        <v>19</v>
      </c>
      <c r="DB54" s="226">
        <f t="shared" si="20"/>
        <v>19</v>
      </c>
      <c r="DC54" s="226">
        <f t="shared" si="20"/>
        <v>19</v>
      </c>
      <c r="DD54" s="226">
        <f t="shared" si="20"/>
        <v>19</v>
      </c>
      <c r="DE54" s="226">
        <f t="shared" si="20"/>
        <v>19</v>
      </c>
      <c r="DF54" s="226">
        <f t="shared" si="20"/>
        <v>19</v>
      </c>
      <c r="DG54" s="2139">
        <f t="shared" si="20"/>
        <v>19</v>
      </c>
      <c r="DH54" s="2140">
        <f t="shared" si="20"/>
        <v>19</v>
      </c>
      <c r="DI54" s="226">
        <f t="shared" si="20"/>
        <v>19</v>
      </c>
      <c r="DJ54" s="226">
        <f t="shared" si="20"/>
        <v>19</v>
      </c>
      <c r="DK54" s="226">
        <f t="shared" si="20"/>
        <v>19</v>
      </c>
      <c r="DL54" s="2139">
        <f t="shared" si="20"/>
        <v>19</v>
      </c>
      <c r="DM54" s="2140">
        <f t="shared" si="20"/>
        <v>20</v>
      </c>
      <c r="DN54" s="226">
        <f t="shared" si="20"/>
        <v>20</v>
      </c>
      <c r="DO54" s="226">
        <f t="shared" si="20"/>
        <v>20</v>
      </c>
      <c r="DP54" s="2139">
        <f t="shared" si="20"/>
        <v>20</v>
      </c>
      <c r="DQ54" s="2140">
        <f t="shared" si="20"/>
        <v>16</v>
      </c>
      <c r="DR54" s="226">
        <f t="shared" si="20"/>
        <v>16</v>
      </c>
      <c r="DS54" s="227">
        <f t="shared" si="20"/>
        <v>16</v>
      </c>
      <c r="DT54" s="225">
        <f t="shared" si="20"/>
        <v>24</v>
      </c>
      <c r="DU54" s="226">
        <f t="shared" si="20"/>
        <v>24</v>
      </c>
      <c r="DV54" s="226">
        <f t="shared" si="20"/>
        <v>24</v>
      </c>
      <c r="DW54" s="226">
        <f t="shared" si="20"/>
        <v>24</v>
      </c>
      <c r="DX54" s="227">
        <f t="shared" si="20"/>
        <v>24</v>
      </c>
      <c r="DY54" s="225">
        <f t="shared" si="20"/>
        <v>21</v>
      </c>
      <c r="DZ54" s="225">
        <f t="shared" si="20"/>
        <v>21</v>
      </c>
      <c r="EA54" s="226">
        <f t="shared" si="20"/>
        <v>21</v>
      </c>
      <c r="EB54" s="226">
        <f t="shared" si="20"/>
        <v>21</v>
      </c>
      <c r="EC54" s="226">
        <f t="shared" si="20"/>
        <v>21</v>
      </c>
      <c r="ED54" s="2141">
        <f t="shared" si="20"/>
        <v>21</v>
      </c>
      <c r="EE54" s="225">
        <f t="shared" si="20"/>
        <v>19</v>
      </c>
      <c r="EF54" s="226">
        <f t="shared" si="20"/>
        <v>19</v>
      </c>
      <c r="EG54" s="226">
        <f t="shared" si="20"/>
        <v>19</v>
      </c>
      <c r="EH54" s="226">
        <f t="shared" si="20"/>
        <v>19</v>
      </c>
      <c r="EI54" s="2141">
        <f t="shared" si="20"/>
        <v>19</v>
      </c>
    </row>
    <row r="55" ht="18.75" customHeight="1">
      <c r="A55" s="228"/>
      <c r="B55" s="229" t="s">
        <v>125</v>
      </c>
      <c r="C55" s="228"/>
      <c r="D55" s="230">
        <f t="shared" ref="D55:EI55" si="21">IFERROR(D54/D53,"")</f>
        <v>0.88</v>
      </c>
      <c r="E55" s="231">
        <f t="shared" si="21"/>
        <v>0.88</v>
      </c>
      <c r="F55" s="231">
        <f t="shared" si="21"/>
        <v>0.88</v>
      </c>
      <c r="G55" s="231">
        <f t="shared" si="21"/>
        <v>0.88</v>
      </c>
      <c r="H55" s="231">
        <f t="shared" si="21"/>
        <v>0.88</v>
      </c>
      <c r="I55" s="2142">
        <f t="shared" si="21"/>
        <v>0.76</v>
      </c>
      <c r="J55" s="2143">
        <f t="shared" si="21"/>
        <v>0.8</v>
      </c>
      <c r="K55" s="231">
        <f t="shared" si="21"/>
        <v>0.8</v>
      </c>
      <c r="L55" s="231">
        <f t="shared" si="21"/>
        <v>0.8</v>
      </c>
      <c r="M55" s="231">
        <f t="shared" si="21"/>
        <v>0.8</v>
      </c>
      <c r="N55" s="231">
        <f t="shared" si="21"/>
        <v>0.8</v>
      </c>
      <c r="O55" s="2142">
        <f t="shared" si="21"/>
        <v>0.8</v>
      </c>
      <c r="P55" s="2143">
        <f t="shared" si="21"/>
        <v>0.88</v>
      </c>
      <c r="Q55" s="231">
        <f t="shared" si="21"/>
        <v>0.88</v>
      </c>
      <c r="R55" s="231">
        <f t="shared" si="21"/>
        <v>0.88</v>
      </c>
      <c r="S55" s="231">
        <f t="shared" si="21"/>
        <v>0.88</v>
      </c>
      <c r="T55" s="231">
        <f t="shared" si="21"/>
        <v>0.88</v>
      </c>
      <c r="U55" s="231">
        <f t="shared" si="21"/>
        <v>0.88</v>
      </c>
      <c r="V55" s="231">
        <f t="shared" si="21"/>
        <v>0.88</v>
      </c>
      <c r="W55" s="2142">
        <f t="shared" si="21"/>
        <v>0.88</v>
      </c>
      <c r="X55" s="2143">
        <f t="shared" si="21"/>
        <v>0.92</v>
      </c>
      <c r="Y55" s="231">
        <f t="shared" si="21"/>
        <v>0.92</v>
      </c>
      <c r="Z55" s="231">
        <f t="shared" si="21"/>
        <v>0.92</v>
      </c>
      <c r="AA55" s="231">
        <f t="shared" si="21"/>
        <v>0.92</v>
      </c>
      <c r="AB55" s="231">
        <f t="shared" si="21"/>
        <v>0.92</v>
      </c>
      <c r="AC55" s="231">
        <f t="shared" si="21"/>
        <v>0.92</v>
      </c>
      <c r="AD55" s="2142">
        <f t="shared" si="21"/>
        <v>0.92</v>
      </c>
      <c r="AE55" s="2143">
        <f t="shared" si="21"/>
        <v>0.84</v>
      </c>
      <c r="AF55" s="231">
        <f t="shared" si="21"/>
        <v>0.84</v>
      </c>
      <c r="AG55" s="231">
        <f t="shared" si="21"/>
        <v>0.84</v>
      </c>
      <c r="AH55" s="231">
        <f t="shared" si="21"/>
        <v>0.84</v>
      </c>
      <c r="AI55" s="231">
        <f t="shared" si="21"/>
        <v>0.84</v>
      </c>
      <c r="AJ55" s="231">
        <f t="shared" si="21"/>
        <v>0.84</v>
      </c>
      <c r="AK55" s="231">
        <f t="shared" si="21"/>
        <v>0.84</v>
      </c>
      <c r="AL55" s="231">
        <f t="shared" si="21"/>
        <v>0.84</v>
      </c>
      <c r="AM55" s="2142">
        <f t="shared" si="21"/>
        <v>0.84</v>
      </c>
      <c r="AN55" s="2143">
        <f t="shared" si="21"/>
        <v>0.6666666667</v>
      </c>
      <c r="AO55" s="231">
        <f t="shared" si="21"/>
        <v>0.68</v>
      </c>
      <c r="AP55" s="231">
        <f t="shared" si="21"/>
        <v>0.68</v>
      </c>
      <c r="AQ55" s="231">
        <f t="shared" si="21"/>
        <v>0.68</v>
      </c>
      <c r="AR55" s="231">
        <f t="shared" si="21"/>
        <v>0.68</v>
      </c>
      <c r="AS55" s="231">
        <f t="shared" si="21"/>
        <v>0.68</v>
      </c>
      <c r="AT55" s="231">
        <f t="shared" si="21"/>
        <v>0.68</v>
      </c>
      <c r="AU55" s="231">
        <f t="shared" si="21"/>
        <v>0.68</v>
      </c>
      <c r="AV55" s="2142">
        <f t="shared" si="21"/>
        <v>0.68</v>
      </c>
      <c r="AW55" s="2143">
        <f t="shared" si="21"/>
        <v>0.7692307692</v>
      </c>
      <c r="AX55" s="231">
        <f t="shared" si="21"/>
        <v>0.8076923077</v>
      </c>
      <c r="AY55" s="231">
        <f t="shared" si="21"/>
        <v>0.8076923077</v>
      </c>
      <c r="AZ55" s="231">
        <f t="shared" si="21"/>
        <v>0.8076923077</v>
      </c>
      <c r="BA55" s="231">
        <f t="shared" si="21"/>
        <v>0.8076923077</v>
      </c>
      <c r="BB55" s="231">
        <f t="shared" si="21"/>
        <v>0.8076923077</v>
      </c>
      <c r="BC55" s="2142">
        <f t="shared" si="21"/>
        <v>0.8076923077</v>
      </c>
      <c r="BD55" s="2143">
        <f t="shared" si="21"/>
        <v>0.7692307692</v>
      </c>
      <c r="BE55" s="231">
        <f t="shared" si="21"/>
        <v>0.7692307692</v>
      </c>
      <c r="BF55" s="231">
        <f t="shared" si="21"/>
        <v>0.7692307692</v>
      </c>
      <c r="BG55" s="231">
        <f t="shared" si="21"/>
        <v>0.7692307692</v>
      </c>
      <c r="BH55" s="231">
        <f t="shared" si="21"/>
        <v>0.7692307692</v>
      </c>
      <c r="BI55" s="231">
        <f t="shared" si="21"/>
        <v>0.7692307692</v>
      </c>
      <c r="BJ55" s="231">
        <f t="shared" si="21"/>
        <v>0.7692307692</v>
      </c>
      <c r="BK55" s="231">
        <f t="shared" si="21"/>
        <v>0.7692307692</v>
      </c>
      <c r="BL55" s="231">
        <f t="shared" si="21"/>
        <v>0.7692307692</v>
      </c>
      <c r="BM55" s="231">
        <f t="shared" si="21"/>
        <v>0.7692307692</v>
      </c>
      <c r="BN55" s="231">
        <f t="shared" si="21"/>
        <v>0.7692307692</v>
      </c>
      <c r="BO55" s="231">
        <f t="shared" si="21"/>
        <v>0.7692307692</v>
      </c>
      <c r="BP55" s="231">
        <f t="shared" si="21"/>
        <v>0.7692307692</v>
      </c>
      <c r="BQ55" s="2142">
        <f t="shared" si="21"/>
        <v>0.6153846154</v>
      </c>
      <c r="BR55" s="2143">
        <f t="shared" si="21"/>
        <v>0.68</v>
      </c>
      <c r="BS55" s="231">
        <f t="shared" si="21"/>
        <v>0.68</v>
      </c>
      <c r="BT55" s="231">
        <f t="shared" si="21"/>
        <v>0.68</v>
      </c>
      <c r="BU55" s="231">
        <f t="shared" si="21"/>
        <v>0.68</v>
      </c>
      <c r="BV55" s="231">
        <f t="shared" si="21"/>
        <v>0.68</v>
      </c>
      <c r="BW55" s="231">
        <f t="shared" si="21"/>
        <v>0.68</v>
      </c>
      <c r="BX55" s="231">
        <f t="shared" si="21"/>
        <v>0.68</v>
      </c>
      <c r="BY55" s="231">
        <f t="shared" si="21"/>
        <v>0.68</v>
      </c>
      <c r="BZ55" s="231">
        <f t="shared" si="21"/>
        <v>0.68</v>
      </c>
      <c r="CA55" s="231">
        <f t="shared" si="21"/>
        <v>0.68</v>
      </c>
      <c r="CB55" s="231">
        <f t="shared" si="21"/>
        <v>0.68</v>
      </c>
      <c r="CC55" s="2142">
        <f t="shared" si="21"/>
        <v>0.68</v>
      </c>
      <c r="CD55" s="2143">
        <f t="shared" si="21"/>
        <v>0.76</v>
      </c>
      <c r="CE55" s="231">
        <f t="shared" si="21"/>
        <v>0.76</v>
      </c>
      <c r="CF55" s="231">
        <f t="shared" si="21"/>
        <v>0.76</v>
      </c>
      <c r="CG55" s="231">
        <f t="shared" si="21"/>
        <v>0.76</v>
      </c>
      <c r="CH55" s="231">
        <f t="shared" si="21"/>
        <v>0.76</v>
      </c>
      <c r="CI55" s="231">
        <f t="shared" si="21"/>
        <v>0.76</v>
      </c>
      <c r="CJ55" s="231">
        <f t="shared" si="21"/>
        <v>0.76</v>
      </c>
      <c r="CK55" s="231">
        <f t="shared" si="21"/>
        <v>0.76</v>
      </c>
      <c r="CL55" s="2142">
        <f t="shared" si="21"/>
        <v>0.76</v>
      </c>
      <c r="CM55" s="2143">
        <f t="shared" si="21"/>
        <v>0.72</v>
      </c>
      <c r="CN55" s="231">
        <f t="shared" si="21"/>
        <v>0.72</v>
      </c>
      <c r="CO55" s="231">
        <f t="shared" si="21"/>
        <v>0.72</v>
      </c>
      <c r="CP55" s="231">
        <f t="shared" si="21"/>
        <v>0.72</v>
      </c>
      <c r="CQ55" s="231">
        <f t="shared" si="21"/>
        <v>0.72</v>
      </c>
      <c r="CR55" s="2142">
        <f t="shared" si="21"/>
        <v>0.72</v>
      </c>
      <c r="CS55" s="2143">
        <f t="shared" si="21"/>
        <v>0.84</v>
      </c>
      <c r="CT55" s="231">
        <f t="shared" si="21"/>
        <v>0.84</v>
      </c>
      <c r="CU55" s="231">
        <f t="shared" si="21"/>
        <v>0.84</v>
      </c>
      <c r="CV55" s="231">
        <f t="shared" si="21"/>
        <v>0.84</v>
      </c>
      <c r="CW55" s="231">
        <f t="shared" si="21"/>
        <v>0.84</v>
      </c>
      <c r="CX55" s="231">
        <f t="shared" si="21"/>
        <v>0.84</v>
      </c>
      <c r="CY55" s="2142">
        <f t="shared" si="21"/>
        <v>0.84</v>
      </c>
      <c r="CZ55" s="2143">
        <f t="shared" si="21"/>
        <v>0.76</v>
      </c>
      <c r="DA55" s="231">
        <f t="shared" si="21"/>
        <v>0.76</v>
      </c>
      <c r="DB55" s="231">
        <f t="shared" si="21"/>
        <v>0.76</v>
      </c>
      <c r="DC55" s="231">
        <f t="shared" si="21"/>
        <v>0.76</v>
      </c>
      <c r="DD55" s="231">
        <f t="shared" si="21"/>
        <v>0.76</v>
      </c>
      <c r="DE55" s="231">
        <f t="shared" si="21"/>
        <v>0.76</v>
      </c>
      <c r="DF55" s="231">
        <f t="shared" si="21"/>
        <v>0.76</v>
      </c>
      <c r="DG55" s="2142">
        <f t="shared" si="21"/>
        <v>0.76</v>
      </c>
      <c r="DH55" s="2143">
        <f t="shared" si="21"/>
        <v>0.76</v>
      </c>
      <c r="DI55" s="231">
        <f t="shared" si="21"/>
        <v>0.76</v>
      </c>
      <c r="DJ55" s="231">
        <f t="shared" si="21"/>
        <v>0.76</v>
      </c>
      <c r="DK55" s="231">
        <f t="shared" si="21"/>
        <v>0.76</v>
      </c>
      <c r="DL55" s="2142">
        <f t="shared" si="21"/>
        <v>0.76</v>
      </c>
      <c r="DM55" s="2143">
        <f t="shared" si="21"/>
        <v>0.8</v>
      </c>
      <c r="DN55" s="231">
        <f t="shared" si="21"/>
        <v>0.8</v>
      </c>
      <c r="DO55" s="231">
        <f t="shared" si="21"/>
        <v>0.8</v>
      </c>
      <c r="DP55" s="2142">
        <f t="shared" si="21"/>
        <v>0.8</v>
      </c>
      <c r="DQ55" s="2143">
        <f t="shared" si="21"/>
        <v>0.64</v>
      </c>
      <c r="DR55" s="231">
        <f t="shared" si="21"/>
        <v>0.64</v>
      </c>
      <c r="DS55" s="232">
        <f t="shared" si="21"/>
        <v>0.64</v>
      </c>
      <c r="DT55" s="230">
        <f t="shared" si="21"/>
        <v>0.96</v>
      </c>
      <c r="DU55" s="231">
        <f t="shared" si="21"/>
        <v>0.96</v>
      </c>
      <c r="DV55" s="231">
        <f t="shared" si="21"/>
        <v>0.96</v>
      </c>
      <c r="DW55" s="231">
        <f t="shared" si="21"/>
        <v>0.96</v>
      </c>
      <c r="DX55" s="232">
        <f t="shared" si="21"/>
        <v>0.96</v>
      </c>
      <c r="DY55" s="230">
        <f t="shared" si="21"/>
        <v>0.84</v>
      </c>
      <c r="DZ55" s="230">
        <f t="shared" si="21"/>
        <v>0.84</v>
      </c>
      <c r="EA55" s="231">
        <f t="shared" si="21"/>
        <v>0.84</v>
      </c>
      <c r="EB55" s="231">
        <f t="shared" si="21"/>
        <v>0.84</v>
      </c>
      <c r="EC55" s="231">
        <f t="shared" si="21"/>
        <v>0.84</v>
      </c>
      <c r="ED55" s="2144">
        <f t="shared" si="21"/>
        <v>0.84</v>
      </c>
      <c r="EE55" s="230">
        <f t="shared" si="21"/>
        <v>0.76</v>
      </c>
      <c r="EF55" s="231">
        <f t="shared" si="21"/>
        <v>0.76</v>
      </c>
      <c r="EG55" s="231">
        <f t="shared" si="21"/>
        <v>0.76</v>
      </c>
      <c r="EH55" s="231">
        <f t="shared" si="21"/>
        <v>0.76</v>
      </c>
      <c r="EI55" s="2144">
        <f t="shared" si="21"/>
        <v>0.76</v>
      </c>
    </row>
  </sheetData>
  <mergeCells count="37">
    <mergeCell ref="AE4:AM4"/>
    <mergeCell ref="AN4:AV4"/>
    <mergeCell ref="A7:A28"/>
    <mergeCell ref="B7:B18"/>
    <mergeCell ref="B19:B28"/>
    <mergeCell ref="A30:A47"/>
    <mergeCell ref="B30:B36"/>
    <mergeCell ref="B53:C53"/>
    <mergeCell ref="B54:C54"/>
    <mergeCell ref="B37:B44"/>
    <mergeCell ref="B45:B46"/>
    <mergeCell ref="A49:A55"/>
    <mergeCell ref="B49:C49"/>
    <mergeCell ref="B50:C50"/>
    <mergeCell ref="B51:C51"/>
    <mergeCell ref="B52:C52"/>
    <mergeCell ref="B55:C55"/>
    <mergeCell ref="AW4:BC4"/>
    <mergeCell ref="BD4:BQ4"/>
    <mergeCell ref="BR4:CC4"/>
    <mergeCell ref="CD4:CL4"/>
    <mergeCell ref="CM4:CR4"/>
    <mergeCell ref="CS4:CY4"/>
    <mergeCell ref="CZ4:DG4"/>
    <mergeCell ref="DH4:DL4"/>
    <mergeCell ref="DM4:DP4"/>
    <mergeCell ref="DQ4:DS4"/>
    <mergeCell ref="DT4:DX4"/>
    <mergeCell ref="DY4:ED4"/>
    <mergeCell ref="A2:C2"/>
    <mergeCell ref="D2:EI3"/>
    <mergeCell ref="A3:C4"/>
    <mergeCell ref="D4:I4"/>
    <mergeCell ref="J4:O4"/>
    <mergeCell ref="P4:W4"/>
    <mergeCell ref="X4:AD4"/>
    <mergeCell ref="EE4:EI4"/>
  </mergeCells>
  <conditionalFormatting sqref="A3 B30:B31">
    <cfRule type="containsText" dxfId="0" priority="1" operator="containsText" text="voor">
      <formula>NOT(ISERROR(SEARCH(("voor"),(A3))))</formula>
    </cfRule>
  </conditionalFormatting>
  <conditionalFormatting sqref="A3 B30:B31">
    <cfRule type="containsText" dxfId="1" priority="2" operator="containsText" text="tegen">
      <formula>NOT(ISERROR(SEARCH(("tegen"),(A3))))</formula>
    </cfRule>
  </conditionalFormatting>
  <conditionalFormatting sqref="D7:EI47 D49:EI55">
    <cfRule type="containsText" dxfId="2" priority="3" operator="containsText" text="SO">
      <formula>NOT(ISERROR(SEARCH(("SO"),(D7))))</formula>
    </cfRule>
  </conditionalFormatting>
  <conditionalFormatting sqref="D7:EI47 D49:EI55">
    <cfRule type="containsText" dxfId="3" priority="4" operator="containsText" text="tegen">
      <formula>NOT(ISERROR(SEARCH(("tegen"),(D7))))</formula>
    </cfRule>
  </conditionalFormatting>
  <conditionalFormatting sqref="D7:EI47 D49:EI55">
    <cfRule type="containsText" dxfId="4" priority="5" operator="containsText" text="voor">
      <formula>NOT(ISERROR(SEARCH(("voor"),(D7))))</formula>
    </cfRule>
  </conditionalFormatting>
  <conditionalFormatting sqref="D7:EI47 D49:EI55">
    <cfRule type="cellIs" dxfId="5" priority="6" operator="equal">
      <formula>"NG"</formula>
    </cfRule>
  </conditionalFormatting>
  <conditionalFormatting sqref="D7:EI47 D49:EI55">
    <cfRule type="containsText" dxfId="6" priority="7" operator="containsText" text="NVT">
      <formula>NOT(ISERROR(SEARCH(("NVT"),(D7))))</formula>
    </cfRule>
  </conditionalFormatting>
  <hyperlinks>
    <hyperlink r:id="rId2" ref="D4"/>
    <hyperlink r:id="rId3" ref="J4"/>
    <hyperlink r:id="rId4" ref="P4"/>
    <hyperlink r:id="rId5" ref="X4"/>
    <hyperlink r:id="rId6" ref="AE4"/>
    <hyperlink r:id="rId7" ref="AN4"/>
    <hyperlink r:id="rId8" ref="AW4"/>
    <hyperlink r:id="rId9" ref="BD4"/>
    <hyperlink r:id="rId10" ref="BR4"/>
    <hyperlink r:id="rId11" ref="CD4"/>
    <hyperlink r:id="rId12" ref="CM4"/>
    <hyperlink r:id="rId13" ref="CS4"/>
    <hyperlink r:id="rId14" ref="CZ4"/>
    <hyperlink r:id="rId15" ref="DH4"/>
    <hyperlink r:id="rId16" ref="DM4"/>
    <hyperlink r:id="rId17" ref="DQ4"/>
    <hyperlink r:id="rId18" ref="DT4"/>
    <hyperlink r:id="rId19" ref="DY4"/>
    <hyperlink r:id="rId20" ref="AW5"/>
    <hyperlink r:id="rId21" ref="AX5"/>
    <hyperlink r:id="rId22" ref="AY5"/>
    <hyperlink r:id="rId23" ref="AZ5"/>
    <hyperlink r:id="rId24" ref="BA5"/>
    <hyperlink r:id="rId25" ref="BB5"/>
    <hyperlink r:id="rId26" ref="BC5"/>
    <hyperlink r:id="rId27" ref="BD5"/>
    <hyperlink r:id="rId28" ref="BE5"/>
    <hyperlink r:id="rId29" ref="BF5"/>
    <hyperlink r:id="rId30" ref="BG5"/>
    <hyperlink r:id="rId31" ref="BH5"/>
    <hyperlink r:id="rId32" ref="BI5"/>
    <hyperlink r:id="rId33" ref="BJ5"/>
    <hyperlink r:id="rId34" ref="BK5"/>
    <hyperlink r:id="rId35" ref="BL5"/>
    <hyperlink r:id="rId36" ref="BM5"/>
    <hyperlink r:id="rId37" ref="BN5"/>
    <hyperlink r:id="rId38" ref="BO5"/>
    <hyperlink r:id="rId39" ref="BP5"/>
    <hyperlink r:id="rId40" ref="BQ5"/>
    <hyperlink r:id="rId41" ref="CD5"/>
    <hyperlink r:id="rId42" ref="CE5"/>
    <hyperlink r:id="rId43" ref="CF5"/>
    <hyperlink r:id="rId44" ref="CG5"/>
    <hyperlink r:id="rId45" ref="CH5"/>
    <hyperlink r:id="rId46" ref="CI5"/>
    <hyperlink r:id="rId47" ref="CJ5"/>
    <hyperlink r:id="rId48" ref="CK5"/>
    <hyperlink r:id="rId49" ref="CL5"/>
    <hyperlink r:id="rId50" ref="CM5"/>
    <hyperlink r:id="rId51" ref="CN5"/>
    <hyperlink r:id="rId52" ref="CO5"/>
    <hyperlink r:id="rId53" ref="CP5"/>
    <hyperlink r:id="rId54" ref="CQ5"/>
    <hyperlink r:id="rId55" ref="CR5"/>
    <hyperlink r:id="rId56" ref="AN29"/>
    <hyperlink r:id="rId57" ref="AO29"/>
    <hyperlink r:id="rId58" ref="AU29"/>
    <hyperlink r:id="rId59" ref="AV29"/>
    <hyperlink r:id="rId60" ref="AW29"/>
    <hyperlink r:id="rId61" ref="AX29"/>
    <hyperlink r:id="rId62" ref="AY29"/>
    <hyperlink r:id="rId63" ref="AZ29"/>
    <hyperlink r:id="rId64" ref="BA29"/>
    <hyperlink r:id="rId65" ref="BB29"/>
    <hyperlink r:id="rId66" ref="BC29"/>
  </hyperlinks>
  <drawing r:id="rId67"/>
  <legacyDrawing r:id="rId68"/>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CC4125"/>
    <outlinePr summaryBelow="0" summaryRight="0"/>
  </sheetPr>
  <sheetViews>
    <sheetView workbookViewId="0">
      <pane xSplit="3.0" ySplit="6.0" topLeftCell="D7" activePane="bottomRight" state="frozen"/>
      <selection activeCell="D1" sqref="D1" pane="topRight"/>
      <selection activeCell="A7" sqref="A7" pane="bottomLeft"/>
      <selection activeCell="D7" sqref="D7" pane="bottomRight"/>
    </sheetView>
  </sheetViews>
  <sheetFormatPr customHeight="1" defaultColWidth="14.43" defaultRowHeight="15.75"/>
  <cols>
    <col customWidth="1" min="1" max="1" width="10.86"/>
    <col customWidth="1" min="2" max="2" width="11.0"/>
    <col customWidth="1" min="3" max="3" width="26.29"/>
  </cols>
  <sheetData>
    <row r="1" ht="18.75" customHeight="1">
      <c r="A1" s="127" t="s">
        <v>126</v>
      </c>
      <c r="B1" s="128"/>
      <c r="C1" s="128"/>
      <c r="D1" s="128"/>
      <c r="E1" s="128"/>
      <c r="F1" s="128"/>
      <c r="G1" s="128"/>
      <c r="H1" s="128"/>
      <c r="I1" s="128"/>
      <c r="J1" s="128"/>
      <c r="K1" s="128"/>
      <c r="L1" s="128"/>
      <c r="M1" s="128"/>
      <c r="N1" s="128"/>
      <c r="O1" s="128"/>
      <c r="P1" s="128"/>
      <c r="Q1" s="128"/>
      <c r="R1" s="129"/>
      <c r="S1" s="129"/>
      <c r="T1" s="129"/>
      <c r="U1" s="129"/>
      <c r="V1" s="129"/>
      <c r="W1" s="129"/>
      <c r="X1" s="129"/>
      <c r="Y1" s="129"/>
      <c r="Z1" s="129"/>
      <c r="AA1" s="129"/>
      <c r="AB1" s="129"/>
      <c r="AC1" s="129"/>
      <c r="AD1" s="129"/>
      <c r="AE1" s="129"/>
      <c r="AF1" s="129"/>
      <c r="AG1" s="129"/>
      <c r="AH1" s="129"/>
      <c r="AI1" s="129"/>
      <c r="AJ1" s="129"/>
      <c r="AK1" s="129"/>
      <c r="AL1" s="129"/>
      <c r="AM1" s="129"/>
      <c r="AN1" s="129"/>
      <c r="AO1" s="129"/>
      <c r="AP1" s="129"/>
    </row>
    <row r="2" ht="18.75" customHeight="1">
      <c r="A2" s="130" t="s">
        <v>79</v>
      </c>
      <c r="B2" s="131"/>
      <c r="C2" s="132"/>
      <c r="D2" s="233" t="s">
        <v>127</v>
      </c>
      <c r="E2" s="124"/>
      <c r="F2" s="124"/>
      <c r="G2" s="124"/>
      <c r="H2" s="124"/>
      <c r="I2" s="124"/>
      <c r="J2" s="124"/>
      <c r="K2" s="124"/>
      <c r="L2" s="124"/>
      <c r="M2" s="124"/>
      <c r="N2" s="124"/>
      <c r="O2" s="124"/>
      <c r="P2" s="124"/>
      <c r="Q2" s="124"/>
      <c r="R2" s="124"/>
      <c r="S2" s="124"/>
      <c r="T2" s="124"/>
      <c r="U2" s="124"/>
      <c r="V2" s="124"/>
      <c r="W2" s="124"/>
      <c r="X2" s="124"/>
      <c r="Y2" s="124"/>
      <c r="Z2" s="124"/>
      <c r="AA2" s="124"/>
      <c r="AB2" s="124"/>
      <c r="AC2" s="124"/>
      <c r="AD2" s="124"/>
      <c r="AE2" s="124"/>
      <c r="AF2" s="124"/>
      <c r="AG2" s="124"/>
      <c r="AH2" s="124"/>
      <c r="AI2" s="124"/>
      <c r="AJ2" s="20"/>
      <c r="AK2" s="2145"/>
      <c r="AL2" s="2145"/>
      <c r="AM2" s="2145"/>
      <c r="AN2" s="2145"/>
      <c r="AO2" s="2145"/>
      <c r="AP2" s="2145"/>
    </row>
    <row r="3" ht="18.75" customHeight="1">
      <c r="A3" s="134" t="s">
        <v>128</v>
      </c>
      <c r="C3" s="135"/>
      <c r="AJ3" s="44"/>
      <c r="AK3" s="2145"/>
      <c r="AL3" s="2145"/>
      <c r="AM3" s="2145"/>
      <c r="AN3" s="2145"/>
      <c r="AO3" s="2145"/>
      <c r="AP3" s="2145"/>
    </row>
    <row r="4" ht="18.75" customHeight="1">
      <c r="C4" s="135"/>
      <c r="D4" s="137" t="s">
        <v>1715</v>
      </c>
      <c r="E4" s="16"/>
      <c r="F4" s="17"/>
      <c r="G4" s="137" t="s">
        <v>1716</v>
      </c>
      <c r="H4" s="16"/>
      <c r="I4" s="17"/>
      <c r="J4" s="2146" t="s">
        <v>1717</v>
      </c>
      <c r="K4" s="2146" t="s">
        <v>1718</v>
      </c>
      <c r="L4" s="137" t="s">
        <v>1719</v>
      </c>
      <c r="M4" s="16"/>
      <c r="N4" s="16"/>
      <c r="O4" s="16"/>
      <c r="P4" s="16"/>
      <c r="Q4" s="16"/>
      <c r="R4" s="136" t="s">
        <v>1720</v>
      </c>
      <c r="S4" s="17"/>
      <c r="T4" s="136" t="s">
        <v>1721</v>
      </c>
      <c r="U4" s="16"/>
      <c r="V4" s="16"/>
      <c r="W4" s="16"/>
      <c r="X4" s="16"/>
      <c r="Y4" s="16"/>
      <c r="Z4" s="17"/>
      <c r="AA4" s="136" t="s">
        <v>1722</v>
      </c>
      <c r="AB4" s="17"/>
      <c r="AC4" s="136" t="s">
        <v>1723</v>
      </c>
      <c r="AD4" s="17"/>
      <c r="AE4" s="136" t="s">
        <v>1724</v>
      </c>
      <c r="AF4" s="17"/>
      <c r="AG4" s="2147" t="s">
        <v>1725</v>
      </c>
      <c r="AH4" s="2147" t="s">
        <v>1726</v>
      </c>
      <c r="AI4" s="136" t="s">
        <v>1727</v>
      </c>
      <c r="AJ4" s="17"/>
      <c r="AK4" s="138"/>
      <c r="AL4" s="138"/>
      <c r="AM4" s="138"/>
      <c r="AN4" s="138"/>
      <c r="AO4" s="138"/>
      <c r="AP4" s="138"/>
    </row>
    <row r="5" ht="18.75" customHeight="1">
      <c r="A5" s="139" t="s">
        <v>86</v>
      </c>
      <c r="B5" s="140" t="s">
        <v>87</v>
      </c>
      <c r="C5" s="141" t="s">
        <v>88</v>
      </c>
      <c r="D5" s="2002" t="str">
        <f>hyperlink("https://www.reddit.com/r/RMTK/comments/f71ubr/w0072_wet_tot_inkomensafhankelijke_regeling/","W0072")</f>
        <v>W0072</v>
      </c>
      <c r="E5" s="2002" t="str">
        <f>hyperlink("https://www.reddit.com/r/RMTK/comments/fd455r/w0073i_amendement_tot_wijziging_van_het/","W0073-I")</f>
        <v>W0073-I</v>
      </c>
      <c r="F5" s="2003" t="str">
        <f>hyperlink("https://www.reddit.com/r/RMTK/comments/fcbr2f/w0074_wet_tot_invoeren_van_een_verplichte/","W0074")</f>
        <v>W0074</v>
      </c>
      <c r="G5" s="2002" t="str">
        <f>hyperlink("https://reddit.com/r/RMTK/comments/frul6g","W0075")</f>
        <v>W0075</v>
      </c>
      <c r="H5" s="2002" t="str">
        <f>hyperlink("https://reddit.com/r/RMTK/comments/ft3no2","W0077")</f>
        <v>W0077</v>
      </c>
      <c r="I5" s="2003" t="str">
        <f>hyperlink("https://reddit.com/r/RMTK/comments/fur4rn","W0078")</f>
        <v>W0078</v>
      </c>
      <c r="J5" s="2003" t="str">
        <f>hyperlink("https://reddit.com/r/RMTK/comments/fwhw8q","W0079")</f>
        <v>W0079</v>
      </c>
      <c r="K5" s="2003" t="s">
        <v>681</v>
      </c>
      <c r="L5" s="2148" t="str">
        <f>HYPERLINK("https://www.reddit.com/r/RMTK/comments/gbfml1/w0081_wijziging_van_de_wet_op_het_voortgezet/?ref=share&amp;ref_source=link","W0081")</f>
        <v>W0081</v>
      </c>
      <c r="M5" s="2149" t="str">
        <f>HYPERLINK("https://www.reddit.com/r/RMTK/comments/g1mxke","W0083")</f>
        <v>W0083</v>
      </c>
      <c r="N5" s="2002" t="str">
        <f>HYPERLINK("https://www.reddit.com/r/RMTK/comments/g3jxay","W0085")</f>
        <v>W0085</v>
      </c>
      <c r="O5" s="2002" t="str">
        <f>HYPERLINK("https://www.reddit.com/r/RMTK/comments/g5aglx","W0086")</f>
        <v>W0086</v>
      </c>
      <c r="P5" s="2002" t="str">
        <f>HYPERLINK("https://www.reddit.com/r/RMTK/comments/g60qgw","W0087")</f>
        <v>W0087</v>
      </c>
      <c r="Q5" s="2150" t="str">
        <f>HYPERLINK("https://www.reddit.com/r/RMTK/comments/gehwkg/w0090_wet_op_aanvullende_eisen_ictprojecten/","W0090")</f>
        <v>W0090</v>
      </c>
      <c r="R5" s="2007" t="str">
        <f>HYPERLINK("https://www.reddit.com/r/RMTK/comments/g9mrib", "W0089")</f>
        <v>W0089</v>
      </c>
      <c r="S5" s="2003" t="str">
        <f>HYPERLINK("https://www.reddit.com/r/RMTK/comments/g6i299/w0088_wetswijziging_tot_inkorting_aanpassing/", "W0088") </f>
        <v>W0088</v>
      </c>
      <c r="T5" s="2002" t="str">
        <f>HYPERLINK("https://www.reddit.com/r/RMTK/comments/gfssqx/w0091_wet_tot_afschaffing_legitieme_portie_in_het/","W0091")</f>
        <v>W0091</v>
      </c>
      <c r="U5" s="2002" t="str">
        <f>HYPERLINK("https://www.reddit.com/r/RMTK/comments/gjnyww/w0095_wet_tot_invoering_planbatenbelasting/","W0095")</f>
        <v>W0095</v>
      </c>
      <c r="V5" s="2002" t="str">
        <f>HYPERLINK("https://www.reddit.com/r/RMTK/comments/gncyo3/w0096_wet_meerdere_mogelijkheden_voorzitterschap/","W0096")</f>
        <v>W0096</v>
      </c>
      <c r="W5" s="2002" t="str">
        <f>HYPERLINK("https://www.reddit.com/r/RMTK/comments/gp6ehs/w0098_wet_bescherming_culturele_evenementen/","W0098")</f>
        <v>W0098</v>
      </c>
      <c r="X5" s="2002" t="str">
        <f>HYPERLINK("https://www.reddit.com/r/RMTK/comments/grhml2/w0099_wetswijziging_mediawet/","W0099")</f>
        <v>W0099</v>
      </c>
      <c r="Y5" s="2002" t="str">
        <f>HYPERLINK("https://www.reddit.com/r/RMTK/comments/gum7nb/w0100s_spoedwet_ter_wijziging_van_de/","W0100")</f>
        <v>W0100</v>
      </c>
      <c r="Z5" s="2003" t="str">
        <f>HYPERLINK("https://www.reddit.com/r/RMTK/comments/gv8xjk/w0102_wet_openbreken_van_de_telecommunicatiemarkt/","W0102")</f>
        <v>W0102</v>
      </c>
      <c r="AA5" s="2002" t="str">
        <f>HYPERLINK("https://www.reddit.com/r/RMTK/comments/gnyh8p/w0097_wet_tot_invoering_dagboetes/","W0097")</f>
        <v>W0097</v>
      </c>
      <c r="AB5" s="2003" t="str">
        <f>HYPERLINK("https://www.reddit.com/r/RMTK/comments/gptqc5/w0103_goedkeuringswet_europees_verdrag_omtrent/","W0103")</f>
        <v>W0103</v>
      </c>
      <c r="AC5" s="2151" t="str">
        <f>hyperlink("https://reddit.com/r/RMTK/comments/hez1cm","W0106")</f>
        <v>W0106</v>
      </c>
      <c r="AD5" s="2152" t="str">
        <f>hyperlink("https://reddit.com/r/RMTK/comments/hhckd2","W0109")</f>
        <v>W0109</v>
      </c>
      <c r="AE5" s="2151" t="str">
        <f>hyperlink("https://reddit.com/r/RMTK/comments/hgh3pe","W0108")</f>
        <v>W0108</v>
      </c>
      <c r="AF5" s="2153" t="str">
        <f>hyperlink("https://reddit.com/r/RMTK/comments/hj83fw","W0110")</f>
        <v>W0110</v>
      </c>
      <c r="AG5" s="2154" t="str">
        <f>hyperlink("https://reddit.com/r/RMTK/comments/hned9g","W0112")</f>
        <v>W0112</v>
      </c>
      <c r="AH5" s="243" t="str">
        <f>hyperlink("https://reddit.com/r/RMTK/comments/hv4qw4", "W0114")</f>
        <v>W0114</v>
      </c>
      <c r="AI5" s="244" t="str">
        <f>hyperlink("https://reddit.com/r/RMTK/comments/hvr3js", "W0115")</f>
        <v>W0115</v>
      </c>
      <c r="AJ5" s="2016" t="str">
        <f>hyperlink("https://reddit.com/r/RMTK/comments/hwd0lv", "W0116")</f>
        <v>W0116</v>
      </c>
      <c r="AK5" s="2155"/>
      <c r="AL5" s="2155"/>
      <c r="AM5" s="2155"/>
      <c r="AN5" s="2155"/>
      <c r="AO5" s="2155"/>
      <c r="AP5" s="2155"/>
    </row>
    <row r="6" ht="6.0" customHeight="1">
      <c r="A6" s="145"/>
      <c r="B6" s="146"/>
      <c r="C6" s="146"/>
      <c r="D6" s="245"/>
      <c r="E6" s="245"/>
      <c r="F6" s="247"/>
      <c r="G6" s="2023"/>
      <c r="H6" s="245"/>
      <c r="I6" s="247"/>
      <c r="J6" s="2024"/>
      <c r="K6" s="2023"/>
      <c r="L6" s="2023"/>
      <c r="M6" s="2023"/>
      <c r="N6" s="2023"/>
      <c r="O6" s="2023"/>
      <c r="P6" s="2023"/>
      <c r="Q6" s="246"/>
      <c r="R6" s="2156"/>
      <c r="S6" s="247"/>
      <c r="T6" s="2023"/>
      <c r="U6" s="2023"/>
      <c r="V6" s="2023"/>
      <c r="W6" s="2023"/>
      <c r="X6" s="2023"/>
      <c r="Y6" s="2023"/>
      <c r="Z6" s="2024"/>
      <c r="AA6" s="2023"/>
      <c r="AB6" s="2024"/>
      <c r="AC6" s="2023"/>
      <c r="AD6" s="2024"/>
      <c r="AE6" s="2023"/>
      <c r="AF6" s="2024"/>
      <c r="AG6" s="2024"/>
      <c r="AH6" s="2024"/>
      <c r="AI6" s="248"/>
      <c r="AJ6" s="2157"/>
      <c r="AK6" s="248"/>
      <c r="AL6" s="248"/>
      <c r="AM6" s="248"/>
      <c r="AN6" s="248"/>
      <c r="AO6" s="248"/>
      <c r="AP6" s="248"/>
    </row>
    <row r="7" ht="18.75" customHeight="1">
      <c r="A7" s="249" t="s">
        <v>132</v>
      </c>
      <c r="B7" s="150" t="s">
        <v>15</v>
      </c>
      <c r="C7" s="250" t="s">
        <v>440</v>
      </c>
      <c r="D7" s="251" t="s">
        <v>91</v>
      </c>
      <c r="E7" s="251" t="s">
        <v>91</v>
      </c>
      <c r="F7" s="253" t="s">
        <v>117</v>
      </c>
      <c r="G7" s="251" t="s">
        <v>91</v>
      </c>
      <c r="H7" s="251" t="s">
        <v>91</v>
      </c>
      <c r="I7" s="188" t="s">
        <v>117</v>
      </c>
      <c r="J7" s="2158" t="s">
        <v>91</v>
      </c>
      <c r="K7" s="2158" t="s">
        <v>91</v>
      </c>
      <c r="L7" s="2159" t="s">
        <v>93</v>
      </c>
      <c r="M7" s="2159" t="s">
        <v>93</v>
      </c>
      <c r="N7" s="2159" t="s">
        <v>93</v>
      </c>
      <c r="O7" s="2159" t="s">
        <v>93</v>
      </c>
      <c r="P7" s="2159" t="s">
        <v>93</v>
      </c>
      <c r="Q7" s="2159" t="s">
        <v>93</v>
      </c>
      <c r="R7" s="2160" t="s">
        <v>1702</v>
      </c>
      <c r="S7" s="2158" t="s">
        <v>1702</v>
      </c>
      <c r="T7" s="251" t="s">
        <v>91</v>
      </c>
      <c r="U7" s="251" t="s">
        <v>91</v>
      </c>
      <c r="V7" s="251" t="s">
        <v>91</v>
      </c>
      <c r="W7" s="251" t="s">
        <v>91</v>
      </c>
      <c r="X7" s="251" t="s">
        <v>91</v>
      </c>
      <c r="Y7" s="251" t="s">
        <v>91</v>
      </c>
      <c r="Z7" s="2158" t="s">
        <v>91</v>
      </c>
      <c r="AA7" s="251" t="s">
        <v>92</v>
      </c>
      <c r="AB7" s="2161" t="s">
        <v>133</v>
      </c>
      <c r="AC7" s="251" t="s">
        <v>91</v>
      </c>
      <c r="AD7" s="2158" t="s">
        <v>91</v>
      </c>
      <c r="AE7" s="251" t="s">
        <v>91</v>
      </c>
      <c r="AF7" s="2158" t="s">
        <v>91</v>
      </c>
      <c r="AG7" s="2158" t="s">
        <v>93</v>
      </c>
      <c r="AH7" s="2158" t="s">
        <v>91</v>
      </c>
      <c r="AI7" s="251" t="s">
        <v>91</v>
      </c>
      <c r="AJ7" s="2158" t="s">
        <v>92</v>
      </c>
      <c r="AK7" s="2159"/>
      <c r="AL7" s="2159"/>
      <c r="AM7" s="2159"/>
      <c r="AN7" s="2159"/>
      <c r="AO7" s="2159"/>
      <c r="AP7" s="2159"/>
    </row>
    <row r="8" ht="18.75" customHeight="1">
      <c r="A8" s="158"/>
      <c r="B8" s="177" t="s">
        <v>24</v>
      </c>
      <c r="C8" s="260" t="s">
        <v>106</v>
      </c>
      <c r="D8" s="252" t="s">
        <v>118</v>
      </c>
      <c r="E8" s="252" t="s">
        <v>118</v>
      </c>
      <c r="F8" s="252" t="s">
        <v>118</v>
      </c>
      <c r="G8" s="252" t="s">
        <v>118</v>
      </c>
      <c r="H8" s="252" t="s">
        <v>118</v>
      </c>
      <c r="I8" s="252" t="s">
        <v>118</v>
      </c>
      <c r="J8" s="252" t="s">
        <v>118</v>
      </c>
      <c r="K8" s="253" t="s">
        <v>118</v>
      </c>
      <c r="L8" s="252" t="s">
        <v>118</v>
      </c>
      <c r="M8" s="252" t="s">
        <v>118</v>
      </c>
      <c r="N8" s="252" t="s">
        <v>118</v>
      </c>
      <c r="O8" s="252" t="s">
        <v>118</v>
      </c>
      <c r="P8" s="252" t="s">
        <v>118</v>
      </c>
      <c r="Q8" s="252" t="s">
        <v>118</v>
      </c>
      <c r="R8" s="2160" t="s">
        <v>1702</v>
      </c>
      <c r="S8" s="2158" t="s">
        <v>1702</v>
      </c>
      <c r="T8" s="251" t="s">
        <v>91</v>
      </c>
      <c r="U8" s="251" t="s">
        <v>91</v>
      </c>
      <c r="V8" s="251" t="s">
        <v>91</v>
      </c>
      <c r="W8" s="251" t="s">
        <v>91</v>
      </c>
      <c r="X8" s="251" t="s">
        <v>91</v>
      </c>
      <c r="Y8" s="251" t="s">
        <v>91</v>
      </c>
      <c r="Z8" s="2158" t="s">
        <v>91</v>
      </c>
      <c r="AA8" s="251" t="s">
        <v>91</v>
      </c>
      <c r="AB8" s="2158" t="s">
        <v>91</v>
      </c>
      <c r="AC8" s="251" t="s">
        <v>91</v>
      </c>
      <c r="AD8" s="2158" t="s">
        <v>91</v>
      </c>
      <c r="AE8" s="251" t="s">
        <v>91</v>
      </c>
      <c r="AF8" s="2158" t="s">
        <v>91</v>
      </c>
      <c r="AG8" s="2158" t="s">
        <v>91</v>
      </c>
      <c r="AH8" s="2158" t="s">
        <v>91</v>
      </c>
      <c r="AI8" s="251" t="s">
        <v>91</v>
      </c>
      <c r="AJ8" s="2158" t="s">
        <v>92</v>
      </c>
      <c r="AK8" s="2159"/>
      <c r="AL8" s="2159"/>
      <c r="AM8" s="2159"/>
      <c r="AN8" s="2159"/>
      <c r="AO8" s="2159"/>
      <c r="AP8" s="2159"/>
    </row>
    <row r="9" ht="18.75" customHeight="1">
      <c r="A9" s="168"/>
      <c r="B9" s="135"/>
      <c r="C9" s="2162" t="s">
        <v>25</v>
      </c>
      <c r="D9" s="251" t="s">
        <v>91</v>
      </c>
      <c r="E9" s="251" t="s">
        <v>91</v>
      </c>
      <c r="F9" s="253" t="s">
        <v>91</v>
      </c>
      <c r="G9" s="2163" t="s">
        <v>91</v>
      </c>
      <c r="H9" s="2163" t="s">
        <v>91</v>
      </c>
      <c r="I9" s="2164" t="s">
        <v>91</v>
      </c>
      <c r="J9" s="2164" t="s">
        <v>92</v>
      </c>
      <c r="K9" s="2164" t="s">
        <v>91</v>
      </c>
      <c r="L9" s="2163" t="s">
        <v>1702</v>
      </c>
      <c r="M9" s="2163" t="s">
        <v>1702</v>
      </c>
      <c r="N9" s="2165" t="s">
        <v>133</v>
      </c>
      <c r="O9" s="2163" t="s">
        <v>1702</v>
      </c>
      <c r="P9" s="2163" t="s">
        <v>1702</v>
      </c>
      <c r="Q9" s="2163" t="s">
        <v>1702</v>
      </c>
      <c r="R9" s="669" t="s">
        <v>118</v>
      </c>
      <c r="S9" s="253" t="s">
        <v>118</v>
      </c>
      <c r="T9" s="252" t="s">
        <v>118</v>
      </c>
      <c r="U9" s="252" t="s">
        <v>118</v>
      </c>
      <c r="V9" s="252" t="s">
        <v>118</v>
      </c>
      <c r="W9" s="252" t="s">
        <v>118</v>
      </c>
      <c r="X9" s="252" t="s">
        <v>118</v>
      </c>
      <c r="Y9" s="252" t="s">
        <v>118</v>
      </c>
      <c r="Z9" s="253" t="s">
        <v>118</v>
      </c>
      <c r="AA9" s="252" t="s">
        <v>118</v>
      </c>
      <c r="AB9" s="253" t="s">
        <v>118</v>
      </c>
      <c r="AC9" s="252" t="s">
        <v>118</v>
      </c>
      <c r="AD9" s="253" t="s">
        <v>118</v>
      </c>
      <c r="AE9" s="252" t="s">
        <v>118</v>
      </c>
      <c r="AF9" s="253" t="s">
        <v>118</v>
      </c>
      <c r="AG9" s="253" t="s">
        <v>118</v>
      </c>
      <c r="AH9" s="253" t="s">
        <v>118</v>
      </c>
      <c r="AI9" s="252" t="s">
        <v>118</v>
      </c>
      <c r="AJ9" s="253" t="s">
        <v>118</v>
      </c>
      <c r="AK9" s="252"/>
      <c r="AL9" s="252"/>
      <c r="AM9" s="252"/>
      <c r="AN9" s="252"/>
      <c r="AO9" s="252"/>
      <c r="AP9" s="252"/>
    </row>
    <row r="10" ht="9.75" customHeight="1">
      <c r="A10" s="170"/>
      <c r="B10" s="172"/>
      <c r="C10" s="172"/>
      <c r="D10" s="257" t="str">
        <f t="shared" ref="D10:U10" si="1">LINKURL(D5)</f>
        <v>https://www.reddit.com/r/RMTK/comments/f71ubr/w0072_wet_tot_inkomensafhankelijke_regeling/</v>
      </c>
      <c r="E10" s="257" t="str">
        <f t="shared" si="1"/>
        <v>https://www.reddit.com/r/RMTK/comments/fd455r/w0073i_amendement_tot_wijziging_van_het/</v>
      </c>
      <c r="F10" s="258" t="str">
        <f t="shared" si="1"/>
        <v>https://www.reddit.com/r/RMTK/comments/fcbr2f/w0074_wet_tot_invoeren_van_een_verplichte/</v>
      </c>
      <c r="G10" s="257" t="str">
        <f t="shared" si="1"/>
        <v>https://reddit.com/r/RMTK/comments/frul6g</v>
      </c>
      <c r="H10" s="257" t="str">
        <f t="shared" si="1"/>
        <v>https://reddit.com/r/RMTK/comments/ft3no2</v>
      </c>
      <c r="I10" s="258" t="str">
        <f t="shared" si="1"/>
        <v>https://reddit.com/r/RMTK/comments/fur4rn</v>
      </c>
      <c r="J10" s="2166" t="str">
        <f t="shared" si="1"/>
        <v>https://reddit.com/r/RMTK/comments/fwhw8q</v>
      </c>
      <c r="K10" s="2167" t="str">
        <f t="shared" si="1"/>
        <v>#REF!</v>
      </c>
      <c r="L10" s="2168" t="str">
        <f t="shared" si="1"/>
        <v>https://www.reddit.com/r/RMTK/comments/gbfml1/w0081_wijziging_van_de_wet_op_het_voortgezet/?ref=share&amp;ref_source=link</v>
      </c>
      <c r="M10" s="2166" t="str">
        <f t="shared" si="1"/>
        <v>https://www.reddit.com/r/RMTK/comments/g1mxke</v>
      </c>
      <c r="N10" s="2169" t="str">
        <f t="shared" si="1"/>
        <v>https://www.reddit.com/r/RMTK/comments/g3jxay</v>
      </c>
      <c r="O10" s="2166" t="str">
        <f t="shared" si="1"/>
        <v>https://www.reddit.com/r/RMTK/comments/g5aglx</v>
      </c>
      <c r="P10" s="2170" t="str">
        <f t="shared" si="1"/>
        <v>https://www.reddit.com/r/RMTK/comments/g60qgw</v>
      </c>
      <c r="Q10" s="2166" t="str">
        <f t="shared" si="1"/>
        <v>https://www.reddit.com/r/RMTK/comments/gehwkg/w0090_wet_op_aanvullende_eisen_ictprojecten/</v>
      </c>
      <c r="R10" s="2171" t="str">
        <f t="shared" si="1"/>
        <v>https://www.reddit.com/r/RMTK/comments/g9mrib</v>
      </c>
      <c r="S10" s="2172" t="str">
        <f t="shared" si="1"/>
        <v>https://www.reddit.com/r/RMTK/comments/g6i299/w0088_wetswijziging_tot_inkorting_aanpassing/</v>
      </c>
      <c r="T10" s="2166" t="str">
        <f t="shared" si="1"/>
        <v>https://www.reddit.com/r/RMTK/comments/gfssqx/w0091_wet_tot_afschaffing_legitieme_portie_in_het/</v>
      </c>
      <c r="U10" s="2166" t="str">
        <f t="shared" si="1"/>
        <v>https://www.reddit.com/r/RMTK/comments/gjnyww/w0095_wet_tot_invoering_planbatenbelasting/</v>
      </c>
      <c r="V10" s="2173"/>
      <c r="W10" s="2166" t="str">
        <f t="shared" ref="W10:AJ10" si="2">LINKURL(W5)</f>
        <v>https://www.reddit.com/r/RMTK/comments/gp6ehs/w0098_wet_bescherming_culturele_evenementen/</v>
      </c>
      <c r="X10" s="2166" t="str">
        <f t="shared" si="2"/>
        <v>https://www.reddit.com/r/RMTK/comments/grhml2/w0099_wetswijziging_mediawet/</v>
      </c>
      <c r="Y10" s="2166" t="str">
        <f t="shared" si="2"/>
        <v>https://www.reddit.com/r/RMTK/comments/gum7nb/w0100s_spoedwet_ter_wijziging_van_de/</v>
      </c>
      <c r="Z10" s="2172" t="str">
        <f t="shared" si="2"/>
        <v>https://www.reddit.com/r/RMTK/comments/gv8xjk/w0102_wet_openbreken_van_de_telecommunicatiemarkt/</v>
      </c>
      <c r="AA10" s="2166" t="str">
        <f t="shared" si="2"/>
        <v>https://www.reddit.com/r/RMTK/comments/gnyh8p/w0097_wet_tot_invoering_dagboetes/</v>
      </c>
      <c r="AB10" s="2172" t="str">
        <f t="shared" si="2"/>
        <v>https://www.reddit.com/r/RMTK/comments/gptqc5/w0103_goedkeuringswet_europees_verdrag_omtrent/</v>
      </c>
      <c r="AC10" s="2166" t="str">
        <f t="shared" si="2"/>
        <v>https://reddit.com/r/RMTK/comments/hez1cm</v>
      </c>
      <c r="AD10" s="2172" t="str">
        <f t="shared" si="2"/>
        <v>https://reddit.com/r/RMTK/comments/hhckd2</v>
      </c>
      <c r="AE10" s="2166" t="str">
        <f t="shared" si="2"/>
        <v>https://reddit.com/r/RMTK/comments/hgh3pe</v>
      </c>
      <c r="AF10" s="2172" t="str">
        <f t="shared" si="2"/>
        <v>https://reddit.com/r/RMTK/comments/hj83fw</v>
      </c>
      <c r="AG10" s="2172" t="str">
        <f t="shared" si="2"/>
        <v>https://reddit.com/r/RMTK/comments/hned9g</v>
      </c>
      <c r="AH10" s="2172" t="str">
        <f t="shared" si="2"/>
        <v>https://reddit.com/r/RMTK/comments/hv4qw4</v>
      </c>
      <c r="AI10" s="2166" t="str">
        <f t="shared" si="2"/>
        <v>https://reddit.com/r/RMTK/comments/hvr3js</v>
      </c>
      <c r="AJ10" s="2172" t="str">
        <f t="shared" si="2"/>
        <v>https://reddit.com/r/RMTK/comments/hwd0lv</v>
      </c>
      <c r="AK10" s="264"/>
      <c r="AL10" s="264"/>
      <c r="AM10" s="264"/>
      <c r="AN10" s="264"/>
      <c r="AO10" s="264"/>
      <c r="AP10" s="264"/>
    </row>
    <row r="11" ht="18.75" customHeight="1">
      <c r="A11" s="249" t="s">
        <v>135</v>
      </c>
      <c r="B11" s="180" t="s">
        <v>31</v>
      </c>
      <c r="C11" s="181" t="s">
        <v>136</v>
      </c>
      <c r="D11" s="251" t="s">
        <v>91</v>
      </c>
      <c r="E11" s="251" t="s">
        <v>91</v>
      </c>
      <c r="F11" s="253" t="s">
        <v>91</v>
      </c>
      <c r="G11" s="251" t="s">
        <v>91</v>
      </c>
      <c r="H11" s="251" t="s">
        <v>91</v>
      </c>
      <c r="I11" s="2158" t="s">
        <v>91</v>
      </c>
      <c r="J11" s="2158" t="s">
        <v>91</v>
      </c>
      <c r="K11" s="2158" t="s">
        <v>91</v>
      </c>
      <c r="L11" s="251" t="s">
        <v>1702</v>
      </c>
      <c r="M11" s="251" t="s">
        <v>1702</v>
      </c>
      <c r="N11" s="251" t="s">
        <v>1702</v>
      </c>
      <c r="O11" s="251" t="s">
        <v>1702</v>
      </c>
      <c r="P11" s="2174" t="s">
        <v>133</v>
      </c>
      <c r="Q11" s="251" t="s">
        <v>1702</v>
      </c>
      <c r="R11" s="2160" t="s">
        <v>1702</v>
      </c>
      <c r="S11" s="2158" t="s">
        <v>1702</v>
      </c>
      <c r="T11" s="251" t="s">
        <v>91</v>
      </c>
      <c r="U11" s="251" t="s">
        <v>91</v>
      </c>
      <c r="V11" s="251" t="s">
        <v>91</v>
      </c>
      <c r="W11" s="251" t="s">
        <v>91</v>
      </c>
      <c r="X11" s="251" t="s">
        <v>91</v>
      </c>
      <c r="Y11" s="251" t="s">
        <v>91</v>
      </c>
      <c r="Z11" s="2158" t="s">
        <v>91</v>
      </c>
      <c r="AA11" s="251" t="s">
        <v>91</v>
      </c>
      <c r="AB11" s="2158" t="s">
        <v>91</v>
      </c>
      <c r="AC11" s="251" t="s">
        <v>91</v>
      </c>
      <c r="AD11" s="2158" t="s">
        <v>91</v>
      </c>
      <c r="AE11" s="251" t="s">
        <v>91</v>
      </c>
      <c r="AF11" s="2158" t="s">
        <v>91</v>
      </c>
      <c r="AG11" s="2158" t="s">
        <v>91</v>
      </c>
      <c r="AH11" s="2158" t="s">
        <v>93</v>
      </c>
      <c r="AI11" s="251" t="s">
        <v>91</v>
      </c>
      <c r="AJ11" s="2158" t="s">
        <v>92</v>
      </c>
      <c r="AK11" s="2159"/>
      <c r="AL11" s="2159"/>
      <c r="AM11" s="2159"/>
      <c r="AN11" s="2159"/>
      <c r="AO11" s="2159"/>
      <c r="AP11" s="2159"/>
    </row>
    <row r="12" ht="18.75" customHeight="1">
      <c r="A12" s="168"/>
      <c r="B12" s="255" t="s">
        <v>36</v>
      </c>
      <c r="C12" s="256" t="s">
        <v>134</v>
      </c>
      <c r="D12" s="251" t="s">
        <v>91</v>
      </c>
      <c r="E12" s="2175" t="s">
        <v>92</v>
      </c>
      <c r="F12" s="253" t="s">
        <v>92</v>
      </c>
      <c r="G12" s="2175" t="s">
        <v>91</v>
      </c>
      <c r="H12" s="2175" t="s">
        <v>91</v>
      </c>
      <c r="I12" s="2176" t="s">
        <v>92</v>
      </c>
      <c r="J12" s="2176" t="s">
        <v>92</v>
      </c>
      <c r="K12" s="2176" t="s">
        <v>91</v>
      </c>
      <c r="L12" s="2175" t="s">
        <v>1703</v>
      </c>
      <c r="M12" s="2175" t="s">
        <v>1702</v>
      </c>
      <c r="N12" s="2177" t="s">
        <v>133</v>
      </c>
      <c r="O12" s="2177" t="s">
        <v>133</v>
      </c>
      <c r="P12" s="2175" t="s">
        <v>1702</v>
      </c>
      <c r="Q12" s="2175" t="s">
        <v>1702</v>
      </c>
      <c r="R12" s="2178" t="s">
        <v>1702</v>
      </c>
      <c r="S12" s="2164" t="s">
        <v>1702</v>
      </c>
      <c r="T12" s="251" t="s">
        <v>91</v>
      </c>
      <c r="U12" s="251" t="s">
        <v>91</v>
      </c>
      <c r="V12" s="251" t="s">
        <v>91</v>
      </c>
      <c r="W12" s="251" t="s">
        <v>91</v>
      </c>
      <c r="X12" s="251" t="s">
        <v>91</v>
      </c>
      <c r="Y12" s="251" t="s">
        <v>91</v>
      </c>
      <c r="Z12" s="2158" t="s">
        <v>91</v>
      </c>
      <c r="AA12" s="2175" t="s">
        <v>92</v>
      </c>
      <c r="AB12" s="2176" t="s">
        <v>92</v>
      </c>
      <c r="AC12" s="2175" t="s">
        <v>91</v>
      </c>
      <c r="AD12" s="2176" t="s">
        <v>91</v>
      </c>
      <c r="AE12" s="2175" t="s">
        <v>91</v>
      </c>
      <c r="AF12" s="2176" t="s">
        <v>91</v>
      </c>
      <c r="AG12" s="2158" t="s">
        <v>91</v>
      </c>
      <c r="AH12" s="2158" t="s">
        <v>91</v>
      </c>
      <c r="AI12" s="251" t="s">
        <v>91</v>
      </c>
      <c r="AJ12" s="2158" t="s">
        <v>92</v>
      </c>
      <c r="AK12" s="2159"/>
      <c r="AL12" s="2159"/>
      <c r="AM12" s="2159"/>
      <c r="AN12" s="2159"/>
      <c r="AO12" s="2159"/>
      <c r="AP12" s="2159"/>
    </row>
    <row r="13" ht="11.25" customHeight="1">
      <c r="A13" s="261"/>
      <c r="B13" s="261"/>
      <c r="C13" s="261"/>
      <c r="D13" s="262" t="str">
        <f t="shared" ref="D13:AJ13" si="3">CONCATENATE("{""status"": ", IF(GT(D14, D15), """aangenomen""", """verworpen"""), ", ""title"": """, D5, """, ""url"": """,D10  , """, ""voor"":", D14,", ""tegen"": ", D15, ", ""onthouden"":", D16, "}")</f>
        <v>{"status": "aangenomen", "title": "W0072", "url": "https://www.reddit.com/r/RMTK/comments/f71ubr/w0072_wet_tot_inkomensafhankelijke_regeling/", "voor":4, "tegen": 0, "onthouden":0}</v>
      </c>
      <c r="E13" s="262" t="str">
        <f t="shared" si="3"/>
        <v>{"status": "aangenomen", "title": "W0073-I", "url": "https://www.reddit.com/r/RMTK/comments/fd455r/w0073i_amendement_tot_wijziging_van_het/", "voor":3, "tegen": 1, "onthouden":0}</v>
      </c>
      <c r="F13" s="263" t="str">
        <f t="shared" si="3"/>
        <v>{"status": "aangenomen", "title": "W0074", "url": "https://www.reddit.com/r/RMTK/comments/fcbr2f/w0074_wet_tot_invoeren_van_een_verplichte/", "voor":2, "tegen": 1, "onthouden":1}</v>
      </c>
      <c r="G13" s="262" t="str">
        <f t="shared" si="3"/>
        <v>{"status": "aangenomen", "title": "W0075", "url": "https://reddit.com/r/RMTK/comments/frul6g", "voor":4, "tegen": 0, "onthouden":0}</v>
      </c>
      <c r="H13" s="262" t="str">
        <f t="shared" si="3"/>
        <v>{"status": "aangenomen", "title": "W0077", "url": "https://reddit.com/r/RMTK/comments/ft3no2", "voor":4, "tegen": 0, "onthouden":0}</v>
      </c>
      <c r="I13" s="262" t="str">
        <f t="shared" si="3"/>
        <v>{"status": "aangenomen", "title": "W0078", "url": "https://reddit.com/r/RMTK/comments/fur4rn", "voor":2, "tegen": 1, "onthouden":1}</v>
      </c>
      <c r="J13" s="2179" t="str">
        <f t="shared" si="3"/>
        <v>{"status": "verworpen", "title": "W0079", "url": "https://reddit.com/r/RMTK/comments/fwhw8q", "voor":2, "tegen": 2, "onthouden":0}</v>
      </c>
      <c r="K13" s="263" t="str">
        <f t="shared" si="3"/>
        <v>#REF!</v>
      </c>
      <c r="L13" s="262" t="str">
        <f t="shared" si="3"/>
        <v>{"status": "aangenomen", "title": "W0081", "url": "https://www.reddit.com/r/RMTK/comments/gbfml1/w0081_wijziging_van_de_wet_op_het_voortgezet/?ref=share&amp;ref_source=link", "voor":2, "tegen": 1, "onthouden":0}</v>
      </c>
      <c r="M13" s="262" t="str">
        <f t="shared" si="3"/>
        <v>{"status": "aangenomen", "title": "W0083", "url": "https://www.reddit.com/r/RMTK/comments/g1mxke", "voor":3, "tegen": 0, "onthouden":0}</v>
      </c>
      <c r="N13" s="2180" t="str">
        <f t="shared" si="3"/>
        <v>{"status": "aangenomen", "title": "W0085", "url": "https://www.reddit.com/r/RMTK/comments/g3jxay", "voor":1, "tegen": 0, "onthouden":0}</v>
      </c>
      <c r="O13" s="2180" t="str">
        <f t="shared" si="3"/>
        <v>{"status": "aangenomen", "title": "W0086", "url": "https://www.reddit.com/r/RMTK/comments/g5aglx", "voor":2, "tegen": 0, "onthouden":0}</v>
      </c>
      <c r="P13" s="262" t="str">
        <f t="shared" si="3"/>
        <v>{"status": "aangenomen", "title": "W0087", "url": "https://www.reddit.com/r/RMTK/comments/g60qgw", "voor":2, "tegen": 0, "onthouden":0}</v>
      </c>
      <c r="Q13" s="262" t="str">
        <f t="shared" si="3"/>
        <v>{"status": "aangenomen", "title": "W0090", "url": "https://www.reddit.com/r/RMTK/comments/gehwkg/w0090_wet_op_aanvullende_eisen_ictprojecten/", "voor":3, "tegen": 0, "onthouden":0}</v>
      </c>
      <c r="R13" s="2181" t="str">
        <f t="shared" si="3"/>
        <v>{"status": "aangenomen", "title": "W0089", "url": "https://www.reddit.com/r/RMTK/comments/g9mrib", "voor":4, "tegen": 0, "onthouden":0}</v>
      </c>
      <c r="S13" s="263" t="str">
        <f t="shared" si="3"/>
        <v>{"status": "aangenomen", "title": "W0088", "url": "https://www.reddit.com/r/RMTK/comments/g6i299/w0088_wetswijziging_tot_inkorting_aanpassing/", "voor":4, "tegen": 0, "onthouden":0}</v>
      </c>
      <c r="T13" s="262" t="str">
        <f t="shared" si="3"/>
        <v>{"status": "aangenomen", "title": "W0091", "url": "https://www.reddit.com/r/RMTK/comments/gfssqx/w0091_wet_tot_afschaffing_legitieme_portie_in_het/", "voor":4, "tegen": 0, "onthouden":0}</v>
      </c>
      <c r="U13" s="262" t="str">
        <f t="shared" si="3"/>
        <v>{"status": "aangenomen", "title": "W0095", "url": "https://www.reddit.com/r/RMTK/comments/gjnyww/w0095_wet_tot_invoering_planbatenbelasting/", "voor":4, "tegen": 0, "onthouden":0}</v>
      </c>
      <c r="V13" s="262" t="str">
        <f t="shared" si="3"/>
        <v>{"status": "aangenomen", "title": "W0096", "url": "", "voor":4, "tegen": 0, "onthouden":0}</v>
      </c>
      <c r="W13" s="262" t="str">
        <f t="shared" si="3"/>
        <v>{"status": "aangenomen", "title": "W0098", "url": "https://www.reddit.com/r/RMTK/comments/gp6ehs/w0098_wet_bescherming_culturele_evenementen/", "voor":4, "tegen": 0, "onthouden":0}</v>
      </c>
      <c r="X13" s="262" t="str">
        <f t="shared" si="3"/>
        <v>{"status": "aangenomen", "title": "W0099", "url": "https://www.reddit.com/r/RMTK/comments/grhml2/w0099_wetswijziging_mediawet/", "voor":4, "tegen": 0, "onthouden":0}</v>
      </c>
      <c r="Y13" s="262" t="str">
        <f t="shared" si="3"/>
        <v>{"status": "aangenomen", "title": "W0100", "url": "https://www.reddit.com/r/RMTK/comments/gum7nb/w0100s_spoedwet_ter_wijziging_van_de/", "voor":4, "tegen": 0, "onthouden":0}</v>
      </c>
      <c r="Z13" s="263" t="str">
        <f t="shared" si="3"/>
        <v>{"status": "aangenomen", "title": "W0102", "url": "https://www.reddit.com/r/RMTK/comments/gv8xjk/w0102_wet_openbreken_van_de_telecommunicatiemarkt/", "voor":4, "tegen": 0, "onthouden":0}</v>
      </c>
      <c r="AA13" s="262" t="str">
        <f t="shared" si="3"/>
        <v>{"status": "verworpen", "title": "W0097", "url": "https://www.reddit.com/r/RMTK/comments/gnyh8p/w0097_wet_tot_invoering_dagboetes/", "voor":2, "tegen": 2, "onthouden":0}</v>
      </c>
      <c r="AB13" s="263" t="str">
        <f t="shared" si="3"/>
        <v>{"status": "aangenomen", "title": "W0103", "url": "https://www.reddit.com/r/RMTK/comments/gptqc5/w0103_goedkeuringswet_europees_verdrag_omtrent/", "voor":2, "tegen": 1, "onthouden":0}</v>
      </c>
      <c r="AC13" s="262" t="str">
        <f t="shared" si="3"/>
        <v>{"status": "aangenomen", "title": "W0106", "url": "https://reddit.com/r/RMTK/comments/hez1cm", "voor":4, "tegen": 0, "onthouden":0}</v>
      </c>
      <c r="AD13" s="263" t="str">
        <f t="shared" si="3"/>
        <v>{"status": "aangenomen", "title": "W0109", "url": "https://reddit.com/r/RMTK/comments/hhckd2", "voor":4, "tegen": 0, "onthouden":0}</v>
      </c>
      <c r="AE13" s="262" t="str">
        <f t="shared" si="3"/>
        <v>{"status": "aangenomen", "title": "W0108", "url": "https://reddit.com/r/RMTK/comments/hgh3pe", "voor":4, "tegen": 0, "onthouden":0}</v>
      </c>
      <c r="AF13" s="263" t="str">
        <f t="shared" si="3"/>
        <v>{"status": "aangenomen", "title": "W0110", "url": "https://reddit.com/r/RMTK/comments/hj83fw", "voor":4, "tegen": 0, "onthouden":0}</v>
      </c>
      <c r="AG13" s="263" t="str">
        <f t="shared" si="3"/>
        <v>{"status": "aangenomen", "title": "W0112", "url": "https://reddit.com/r/RMTK/comments/hned9g", "voor":3, "tegen": 0, "onthouden":0}</v>
      </c>
      <c r="AH13" s="262" t="str">
        <f t="shared" si="3"/>
        <v>{"status": "aangenomen", "title": "W0114", "url": "https://reddit.com/r/RMTK/comments/hv4qw4", "voor":3, "tegen": 0, "onthouden":0}</v>
      </c>
      <c r="AI13" s="2181" t="str">
        <f t="shared" si="3"/>
        <v>{"status": "aangenomen", "title": "W0115", "url": "https://reddit.com/r/RMTK/comments/hvr3js", "voor":4, "tegen": 0, "onthouden":0}</v>
      </c>
      <c r="AJ13" s="263" t="str">
        <f t="shared" si="3"/>
        <v>{"status": "verworpen", "title": "W0116", "url": "https://reddit.com/r/RMTK/comments/hwd0lv", "voor":0, "tegen": 4, "onthouden":0}</v>
      </c>
      <c r="AK13" s="264"/>
      <c r="AL13" s="264"/>
      <c r="AM13" s="264"/>
      <c r="AN13" s="264"/>
      <c r="AO13" s="264"/>
      <c r="AP13" s="264"/>
    </row>
    <row r="14" ht="18.0" customHeight="1">
      <c r="A14" s="198" t="s">
        <v>119</v>
      </c>
      <c r="B14" s="199" t="s">
        <v>91</v>
      </c>
      <c r="C14" s="44"/>
      <c r="D14" s="265">
        <f t="shared" ref="D14:AJ14" si="4">COUNTIF(D5:D12,"Voor")</f>
        <v>4</v>
      </c>
      <c r="E14" s="265">
        <f t="shared" si="4"/>
        <v>3</v>
      </c>
      <c r="F14" s="2182">
        <f t="shared" si="4"/>
        <v>2</v>
      </c>
      <c r="G14" s="2183">
        <f t="shared" si="4"/>
        <v>4</v>
      </c>
      <c r="H14" s="265">
        <f t="shared" si="4"/>
        <v>4</v>
      </c>
      <c r="I14" s="266">
        <f t="shared" si="4"/>
        <v>2</v>
      </c>
      <c r="J14" s="2182">
        <f t="shared" si="4"/>
        <v>2</v>
      </c>
      <c r="K14" s="2182">
        <f t="shared" si="4"/>
        <v>4</v>
      </c>
      <c r="L14" s="2183">
        <f t="shared" si="4"/>
        <v>2</v>
      </c>
      <c r="M14" s="2183">
        <f t="shared" si="4"/>
        <v>3</v>
      </c>
      <c r="N14" s="2183">
        <f t="shared" si="4"/>
        <v>1</v>
      </c>
      <c r="O14" s="2183">
        <f t="shared" si="4"/>
        <v>2</v>
      </c>
      <c r="P14" s="2183">
        <f t="shared" si="4"/>
        <v>2</v>
      </c>
      <c r="Q14" s="2184">
        <f t="shared" si="4"/>
        <v>3</v>
      </c>
      <c r="R14" s="2185">
        <f t="shared" si="4"/>
        <v>4</v>
      </c>
      <c r="S14" s="2182">
        <f t="shared" si="4"/>
        <v>4</v>
      </c>
      <c r="T14" s="2183">
        <f t="shared" si="4"/>
        <v>4</v>
      </c>
      <c r="U14" s="2183">
        <f t="shared" si="4"/>
        <v>4</v>
      </c>
      <c r="V14" s="2183">
        <f t="shared" si="4"/>
        <v>4</v>
      </c>
      <c r="W14" s="2183">
        <f t="shared" si="4"/>
        <v>4</v>
      </c>
      <c r="X14" s="2183">
        <f t="shared" si="4"/>
        <v>4</v>
      </c>
      <c r="Y14" s="2183">
        <f t="shared" si="4"/>
        <v>4</v>
      </c>
      <c r="Z14" s="2182">
        <f t="shared" si="4"/>
        <v>4</v>
      </c>
      <c r="AA14" s="2183">
        <f t="shared" si="4"/>
        <v>2</v>
      </c>
      <c r="AB14" s="2182">
        <f t="shared" si="4"/>
        <v>2</v>
      </c>
      <c r="AC14" s="2183">
        <f t="shared" si="4"/>
        <v>4</v>
      </c>
      <c r="AD14" s="2182">
        <f t="shared" si="4"/>
        <v>4</v>
      </c>
      <c r="AE14" s="2183">
        <f t="shared" si="4"/>
        <v>4</v>
      </c>
      <c r="AF14" s="2182">
        <f t="shared" si="4"/>
        <v>4</v>
      </c>
      <c r="AG14" s="2182">
        <f t="shared" si="4"/>
        <v>3</v>
      </c>
      <c r="AH14" s="2182">
        <f t="shared" si="4"/>
        <v>3</v>
      </c>
      <c r="AI14" s="2183">
        <f t="shared" si="4"/>
        <v>4</v>
      </c>
      <c r="AJ14" s="2182">
        <f t="shared" si="4"/>
        <v>0</v>
      </c>
      <c r="AK14" s="2184"/>
      <c r="AL14" s="2184"/>
      <c r="AM14" s="2184"/>
      <c r="AN14" s="2184"/>
      <c r="AO14" s="2184"/>
      <c r="AP14" s="2184"/>
    </row>
    <row r="15" ht="18.75" customHeight="1">
      <c r="A15" s="44"/>
      <c r="B15" s="203" t="s">
        <v>92</v>
      </c>
      <c r="C15" s="44"/>
      <c r="D15" s="267">
        <f t="shared" ref="D15:AJ15" si="5">COUNTIF(D5:D12,"Tegen")</f>
        <v>0</v>
      </c>
      <c r="E15" s="267">
        <f t="shared" si="5"/>
        <v>1</v>
      </c>
      <c r="F15" s="2186">
        <f t="shared" si="5"/>
        <v>1</v>
      </c>
      <c r="G15" s="2187">
        <f t="shared" si="5"/>
        <v>0</v>
      </c>
      <c r="H15" s="267">
        <f t="shared" si="5"/>
        <v>0</v>
      </c>
      <c r="I15" s="268">
        <f t="shared" si="5"/>
        <v>1</v>
      </c>
      <c r="J15" s="2186">
        <f t="shared" si="5"/>
        <v>2</v>
      </c>
      <c r="K15" s="2186">
        <f t="shared" si="5"/>
        <v>0</v>
      </c>
      <c r="L15" s="2187">
        <f t="shared" si="5"/>
        <v>1</v>
      </c>
      <c r="M15" s="2187">
        <f t="shared" si="5"/>
        <v>0</v>
      </c>
      <c r="N15" s="2187">
        <f t="shared" si="5"/>
        <v>0</v>
      </c>
      <c r="O15" s="2187">
        <f t="shared" si="5"/>
        <v>0</v>
      </c>
      <c r="P15" s="2187">
        <f t="shared" si="5"/>
        <v>0</v>
      </c>
      <c r="Q15" s="2188">
        <f t="shared" si="5"/>
        <v>0</v>
      </c>
      <c r="R15" s="2189">
        <f t="shared" si="5"/>
        <v>0</v>
      </c>
      <c r="S15" s="2186">
        <f t="shared" si="5"/>
        <v>0</v>
      </c>
      <c r="T15" s="2187">
        <f t="shared" si="5"/>
        <v>0</v>
      </c>
      <c r="U15" s="2187">
        <f t="shared" si="5"/>
        <v>0</v>
      </c>
      <c r="V15" s="2187">
        <f t="shared" si="5"/>
        <v>0</v>
      </c>
      <c r="W15" s="2187">
        <f t="shared" si="5"/>
        <v>0</v>
      </c>
      <c r="X15" s="2187">
        <f t="shared" si="5"/>
        <v>0</v>
      </c>
      <c r="Y15" s="2187">
        <f t="shared" si="5"/>
        <v>0</v>
      </c>
      <c r="Z15" s="2186">
        <f t="shared" si="5"/>
        <v>0</v>
      </c>
      <c r="AA15" s="2187">
        <f t="shared" si="5"/>
        <v>2</v>
      </c>
      <c r="AB15" s="2186">
        <f t="shared" si="5"/>
        <v>1</v>
      </c>
      <c r="AC15" s="2187">
        <f t="shared" si="5"/>
        <v>0</v>
      </c>
      <c r="AD15" s="2186">
        <f t="shared" si="5"/>
        <v>0</v>
      </c>
      <c r="AE15" s="2187">
        <f t="shared" si="5"/>
        <v>0</v>
      </c>
      <c r="AF15" s="2186">
        <f t="shared" si="5"/>
        <v>0</v>
      </c>
      <c r="AG15" s="2186">
        <f t="shared" si="5"/>
        <v>0</v>
      </c>
      <c r="AH15" s="2186">
        <f t="shared" si="5"/>
        <v>0</v>
      </c>
      <c r="AI15" s="2187">
        <f t="shared" si="5"/>
        <v>0</v>
      </c>
      <c r="AJ15" s="2186">
        <f t="shared" si="5"/>
        <v>4</v>
      </c>
      <c r="AK15" s="2188"/>
      <c r="AL15" s="2188"/>
      <c r="AM15" s="2188"/>
      <c r="AN15" s="2188"/>
      <c r="AO15" s="2188"/>
      <c r="AP15" s="2188"/>
    </row>
    <row r="16" ht="18.75" customHeight="1">
      <c r="A16" s="44"/>
      <c r="B16" s="207" t="s">
        <v>120</v>
      </c>
      <c r="C16" s="44"/>
      <c r="D16" s="269">
        <f t="shared" ref="D16:AJ16" si="6">COUNTIF(D5:D12,"SO")</f>
        <v>0</v>
      </c>
      <c r="E16" s="269">
        <f t="shared" si="6"/>
        <v>0</v>
      </c>
      <c r="F16" s="2190">
        <f t="shared" si="6"/>
        <v>1</v>
      </c>
      <c r="G16" s="2191">
        <f t="shared" si="6"/>
        <v>0</v>
      </c>
      <c r="H16" s="269">
        <f t="shared" si="6"/>
        <v>0</v>
      </c>
      <c r="I16" s="270">
        <f t="shared" si="6"/>
        <v>1</v>
      </c>
      <c r="J16" s="2190">
        <f t="shared" si="6"/>
        <v>0</v>
      </c>
      <c r="K16" s="2190">
        <f t="shared" si="6"/>
        <v>0</v>
      </c>
      <c r="L16" s="2191">
        <f t="shared" si="6"/>
        <v>0</v>
      </c>
      <c r="M16" s="2191">
        <f t="shared" si="6"/>
        <v>0</v>
      </c>
      <c r="N16" s="2191">
        <f t="shared" si="6"/>
        <v>0</v>
      </c>
      <c r="O16" s="2191">
        <f t="shared" si="6"/>
        <v>0</v>
      </c>
      <c r="P16" s="2191">
        <f t="shared" si="6"/>
        <v>0</v>
      </c>
      <c r="Q16" s="2192">
        <f t="shared" si="6"/>
        <v>0</v>
      </c>
      <c r="R16" s="2193">
        <f t="shared" si="6"/>
        <v>0</v>
      </c>
      <c r="S16" s="2190">
        <f t="shared" si="6"/>
        <v>0</v>
      </c>
      <c r="T16" s="2191">
        <f t="shared" si="6"/>
        <v>0</v>
      </c>
      <c r="U16" s="2191">
        <f t="shared" si="6"/>
        <v>0</v>
      </c>
      <c r="V16" s="2191">
        <f t="shared" si="6"/>
        <v>0</v>
      </c>
      <c r="W16" s="2191">
        <f t="shared" si="6"/>
        <v>0</v>
      </c>
      <c r="X16" s="2191">
        <f t="shared" si="6"/>
        <v>0</v>
      </c>
      <c r="Y16" s="2191">
        <f t="shared" si="6"/>
        <v>0</v>
      </c>
      <c r="Z16" s="2190">
        <f t="shared" si="6"/>
        <v>0</v>
      </c>
      <c r="AA16" s="2191">
        <f t="shared" si="6"/>
        <v>0</v>
      </c>
      <c r="AB16" s="2190">
        <f t="shared" si="6"/>
        <v>0</v>
      </c>
      <c r="AC16" s="2191">
        <f t="shared" si="6"/>
        <v>0</v>
      </c>
      <c r="AD16" s="2190">
        <f t="shared" si="6"/>
        <v>0</v>
      </c>
      <c r="AE16" s="2191">
        <f t="shared" si="6"/>
        <v>0</v>
      </c>
      <c r="AF16" s="2190">
        <f t="shared" si="6"/>
        <v>0</v>
      </c>
      <c r="AG16" s="2190">
        <f t="shared" si="6"/>
        <v>0</v>
      </c>
      <c r="AH16" s="2190">
        <f t="shared" si="6"/>
        <v>0</v>
      </c>
      <c r="AI16" s="2191">
        <f t="shared" si="6"/>
        <v>0</v>
      </c>
      <c r="AJ16" s="2190">
        <f t="shared" si="6"/>
        <v>0</v>
      </c>
      <c r="AK16" s="2192"/>
      <c r="AL16" s="2192"/>
      <c r="AM16" s="2192"/>
      <c r="AN16" s="2192"/>
      <c r="AO16" s="2192"/>
      <c r="AP16" s="2192"/>
    </row>
    <row r="17" ht="18.75" customHeight="1">
      <c r="A17" s="44"/>
      <c r="B17" s="211" t="s">
        <v>121</v>
      </c>
      <c r="C17" s="44"/>
      <c r="D17" s="271">
        <f t="shared" ref="D17:AJ17" si="7">COUNTIF(D5:D12,"NG")</f>
        <v>0</v>
      </c>
      <c r="E17" s="271">
        <f t="shared" si="7"/>
        <v>0</v>
      </c>
      <c r="F17" s="2194">
        <f t="shared" si="7"/>
        <v>0</v>
      </c>
      <c r="G17" s="2195">
        <f t="shared" si="7"/>
        <v>0</v>
      </c>
      <c r="H17" s="271">
        <f t="shared" si="7"/>
        <v>0</v>
      </c>
      <c r="I17" s="272">
        <f t="shared" si="7"/>
        <v>0</v>
      </c>
      <c r="J17" s="2194">
        <f t="shared" si="7"/>
        <v>0</v>
      </c>
      <c r="K17" s="2194">
        <f t="shared" si="7"/>
        <v>0</v>
      </c>
      <c r="L17" s="2195">
        <f t="shared" si="7"/>
        <v>1</v>
      </c>
      <c r="M17" s="2195">
        <f t="shared" si="7"/>
        <v>1</v>
      </c>
      <c r="N17" s="2195">
        <f t="shared" si="7"/>
        <v>1</v>
      </c>
      <c r="O17" s="2195">
        <f t="shared" si="7"/>
        <v>1</v>
      </c>
      <c r="P17" s="2195">
        <f t="shared" si="7"/>
        <v>1</v>
      </c>
      <c r="Q17" s="2196">
        <f t="shared" si="7"/>
        <v>1</v>
      </c>
      <c r="R17" s="2197">
        <f t="shared" si="7"/>
        <v>0</v>
      </c>
      <c r="S17" s="2194">
        <f t="shared" si="7"/>
        <v>0</v>
      </c>
      <c r="T17" s="2195">
        <f t="shared" si="7"/>
        <v>0</v>
      </c>
      <c r="U17" s="2195">
        <f t="shared" si="7"/>
        <v>0</v>
      </c>
      <c r="V17" s="2195">
        <f t="shared" si="7"/>
        <v>0</v>
      </c>
      <c r="W17" s="2195">
        <f t="shared" si="7"/>
        <v>0</v>
      </c>
      <c r="X17" s="2195">
        <f t="shared" si="7"/>
        <v>0</v>
      </c>
      <c r="Y17" s="2195">
        <f t="shared" si="7"/>
        <v>0</v>
      </c>
      <c r="Z17" s="2194">
        <f t="shared" si="7"/>
        <v>0</v>
      </c>
      <c r="AA17" s="2195">
        <f t="shared" si="7"/>
        <v>0</v>
      </c>
      <c r="AB17" s="2194">
        <f t="shared" si="7"/>
        <v>0</v>
      </c>
      <c r="AC17" s="2195">
        <f t="shared" si="7"/>
        <v>0</v>
      </c>
      <c r="AD17" s="2194">
        <f t="shared" si="7"/>
        <v>0</v>
      </c>
      <c r="AE17" s="2195">
        <f t="shared" si="7"/>
        <v>0</v>
      </c>
      <c r="AF17" s="2194">
        <f t="shared" si="7"/>
        <v>0</v>
      </c>
      <c r="AG17" s="2194">
        <f t="shared" si="7"/>
        <v>1</v>
      </c>
      <c r="AH17" s="2194">
        <f t="shared" si="7"/>
        <v>1</v>
      </c>
      <c r="AI17" s="2195">
        <f t="shared" si="7"/>
        <v>0</v>
      </c>
      <c r="AJ17" s="2194">
        <f t="shared" si="7"/>
        <v>0</v>
      </c>
      <c r="AK17" s="2196"/>
      <c r="AL17" s="2196"/>
      <c r="AM17" s="2196"/>
      <c r="AN17" s="2196"/>
      <c r="AO17" s="2196"/>
      <c r="AP17" s="2196"/>
    </row>
    <row r="18" ht="18.75" customHeight="1">
      <c r="A18" s="44"/>
      <c r="B18" s="215" t="s">
        <v>122</v>
      </c>
      <c r="C18" s="44"/>
      <c r="D18" s="273">
        <f t="shared" ref="D18:AB18" si="8">SUM(D14:D17)+COUNTIF(D5:D12,"Ongeldig")</f>
        <v>4</v>
      </c>
      <c r="E18" s="274">
        <f t="shared" si="8"/>
        <v>4</v>
      </c>
      <c r="F18" s="275">
        <f t="shared" si="8"/>
        <v>4</v>
      </c>
      <c r="G18" s="273">
        <f t="shared" si="8"/>
        <v>4</v>
      </c>
      <c r="H18" s="274">
        <f t="shared" si="8"/>
        <v>4</v>
      </c>
      <c r="I18" s="275">
        <f t="shared" si="8"/>
        <v>4</v>
      </c>
      <c r="J18" s="2198">
        <f t="shared" si="8"/>
        <v>4</v>
      </c>
      <c r="K18" s="2198">
        <f t="shared" si="8"/>
        <v>4</v>
      </c>
      <c r="L18" s="273">
        <f t="shared" si="8"/>
        <v>4</v>
      </c>
      <c r="M18" s="274">
        <f t="shared" si="8"/>
        <v>4</v>
      </c>
      <c r="N18" s="274">
        <f t="shared" si="8"/>
        <v>4</v>
      </c>
      <c r="O18" s="274">
        <f t="shared" si="8"/>
        <v>4</v>
      </c>
      <c r="P18" s="274">
        <f t="shared" si="8"/>
        <v>4</v>
      </c>
      <c r="Q18" s="275">
        <f t="shared" si="8"/>
        <v>4</v>
      </c>
      <c r="R18" s="273">
        <f t="shared" si="8"/>
        <v>4</v>
      </c>
      <c r="S18" s="275">
        <f t="shared" si="8"/>
        <v>4</v>
      </c>
      <c r="T18" s="273">
        <f t="shared" si="8"/>
        <v>4</v>
      </c>
      <c r="U18" s="274">
        <f t="shared" si="8"/>
        <v>4</v>
      </c>
      <c r="V18" s="274">
        <f t="shared" si="8"/>
        <v>4</v>
      </c>
      <c r="W18" s="274">
        <f t="shared" si="8"/>
        <v>4</v>
      </c>
      <c r="X18" s="274">
        <f t="shared" si="8"/>
        <v>4</v>
      </c>
      <c r="Y18" s="273">
        <f t="shared" si="8"/>
        <v>4</v>
      </c>
      <c r="Z18" s="2198">
        <f t="shared" si="8"/>
        <v>4</v>
      </c>
      <c r="AA18" s="273">
        <f t="shared" si="8"/>
        <v>4</v>
      </c>
      <c r="AB18" s="2198">
        <f t="shared" si="8"/>
        <v>4</v>
      </c>
      <c r="AC18" s="273">
        <f t="shared" ref="AC18:AJ18" si="9">SUM(AC14:AC17)</f>
        <v>4</v>
      </c>
      <c r="AD18" s="2198">
        <f t="shared" si="9"/>
        <v>4</v>
      </c>
      <c r="AE18" s="273">
        <f t="shared" si="9"/>
        <v>4</v>
      </c>
      <c r="AF18" s="2198">
        <f t="shared" si="9"/>
        <v>4</v>
      </c>
      <c r="AG18" s="2198">
        <f t="shared" si="9"/>
        <v>4</v>
      </c>
      <c r="AH18" s="2198">
        <f t="shared" si="9"/>
        <v>4</v>
      </c>
      <c r="AI18" s="273">
        <f t="shared" si="9"/>
        <v>4</v>
      </c>
      <c r="AJ18" s="2198">
        <f t="shared" si="9"/>
        <v>4</v>
      </c>
      <c r="AK18" s="2199"/>
      <c r="AL18" s="2199"/>
      <c r="AM18" s="2199"/>
      <c r="AN18" s="2199"/>
      <c r="AO18" s="2199"/>
      <c r="AP18" s="2199"/>
    </row>
    <row r="19" ht="18.75" customHeight="1">
      <c r="A19" s="44"/>
      <c r="B19" s="224" t="s">
        <v>124</v>
      </c>
      <c r="C19" s="2200">
        <f t="shared" ref="C19:AJ19" si="10">C14+C15+C16+COUNTIF(C5:C12,"Ongeldig")</f>
        <v>0</v>
      </c>
      <c r="D19" s="279">
        <f t="shared" si="10"/>
        <v>4</v>
      </c>
      <c r="E19" s="280">
        <f t="shared" si="10"/>
        <v>4</v>
      </c>
      <c r="F19" s="281">
        <f t="shared" si="10"/>
        <v>4</v>
      </c>
      <c r="G19" s="279">
        <f t="shared" si="10"/>
        <v>4</v>
      </c>
      <c r="H19" s="280">
        <f t="shared" si="10"/>
        <v>4</v>
      </c>
      <c r="I19" s="281">
        <f t="shared" si="10"/>
        <v>4</v>
      </c>
      <c r="J19" s="2200">
        <f t="shared" si="10"/>
        <v>4</v>
      </c>
      <c r="K19" s="2200">
        <f t="shared" si="10"/>
        <v>4</v>
      </c>
      <c r="L19" s="279">
        <f t="shared" si="10"/>
        <v>3</v>
      </c>
      <c r="M19" s="280">
        <f t="shared" si="10"/>
        <v>3</v>
      </c>
      <c r="N19" s="280">
        <f t="shared" si="10"/>
        <v>3</v>
      </c>
      <c r="O19" s="280">
        <f t="shared" si="10"/>
        <v>3</v>
      </c>
      <c r="P19" s="280">
        <f t="shared" si="10"/>
        <v>3</v>
      </c>
      <c r="Q19" s="281">
        <f t="shared" si="10"/>
        <v>3</v>
      </c>
      <c r="R19" s="279">
        <f t="shared" si="10"/>
        <v>4</v>
      </c>
      <c r="S19" s="281">
        <f t="shared" si="10"/>
        <v>4</v>
      </c>
      <c r="T19" s="279">
        <f t="shared" si="10"/>
        <v>4</v>
      </c>
      <c r="U19" s="280">
        <f t="shared" si="10"/>
        <v>4</v>
      </c>
      <c r="V19" s="280">
        <f t="shared" si="10"/>
        <v>4</v>
      </c>
      <c r="W19" s="280">
        <f t="shared" si="10"/>
        <v>4</v>
      </c>
      <c r="X19" s="280">
        <f t="shared" si="10"/>
        <v>4</v>
      </c>
      <c r="Y19" s="279">
        <f t="shared" si="10"/>
        <v>4</v>
      </c>
      <c r="Z19" s="2200">
        <f t="shared" si="10"/>
        <v>4</v>
      </c>
      <c r="AA19" s="279">
        <f t="shared" si="10"/>
        <v>4</v>
      </c>
      <c r="AB19" s="2200">
        <f t="shared" si="10"/>
        <v>4</v>
      </c>
      <c r="AC19" s="279">
        <f t="shared" si="10"/>
        <v>4</v>
      </c>
      <c r="AD19" s="2201">
        <f t="shared" si="10"/>
        <v>4</v>
      </c>
      <c r="AE19" s="2202">
        <f t="shared" si="10"/>
        <v>4</v>
      </c>
      <c r="AF19" s="2200">
        <f t="shared" si="10"/>
        <v>4</v>
      </c>
      <c r="AG19" s="2203">
        <f t="shared" si="10"/>
        <v>3</v>
      </c>
      <c r="AH19" s="2200">
        <f t="shared" si="10"/>
        <v>3</v>
      </c>
      <c r="AI19" s="2202">
        <f t="shared" si="10"/>
        <v>4</v>
      </c>
      <c r="AJ19" s="2200">
        <f t="shared" si="10"/>
        <v>4</v>
      </c>
      <c r="AK19" s="2201"/>
      <c r="AL19" s="2201"/>
      <c r="AM19" s="2201"/>
      <c r="AN19" s="2201"/>
      <c r="AO19" s="2201"/>
      <c r="AP19" s="2201"/>
    </row>
    <row r="20" ht="18.75" customHeight="1">
      <c r="A20" s="228"/>
      <c r="B20" s="229" t="s">
        <v>125</v>
      </c>
      <c r="C20" s="228"/>
      <c r="D20" s="282">
        <f t="shared" ref="D20:AJ20" si="11">IFERROR(D19/D18,"")</f>
        <v>1</v>
      </c>
      <c r="E20" s="282">
        <f t="shared" si="11"/>
        <v>1</v>
      </c>
      <c r="F20" s="2204">
        <f t="shared" si="11"/>
        <v>1</v>
      </c>
      <c r="G20" s="2205">
        <f t="shared" si="11"/>
        <v>1</v>
      </c>
      <c r="H20" s="282">
        <f t="shared" si="11"/>
        <v>1</v>
      </c>
      <c r="I20" s="283">
        <f t="shared" si="11"/>
        <v>1</v>
      </c>
      <c r="J20" s="2204">
        <f t="shared" si="11"/>
        <v>1</v>
      </c>
      <c r="K20" s="2204">
        <f t="shared" si="11"/>
        <v>1</v>
      </c>
      <c r="L20" s="2205">
        <f t="shared" si="11"/>
        <v>0.75</v>
      </c>
      <c r="M20" s="2205">
        <f t="shared" si="11"/>
        <v>0.75</v>
      </c>
      <c r="N20" s="2205">
        <f t="shared" si="11"/>
        <v>0.75</v>
      </c>
      <c r="O20" s="2205">
        <f t="shared" si="11"/>
        <v>0.75</v>
      </c>
      <c r="P20" s="2205">
        <f t="shared" si="11"/>
        <v>0.75</v>
      </c>
      <c r="Q20" s="2206">
        <f t="shared" si="11"/>
        <v>0.75</v>
      </c>
      <c r="R20" s="2207">
        <f t="shared" si="11"/>
        <v>1</v>
      </c>
      <c r="S20" s="2204">
        <f t="shared" si="11"/>
        <v>1</v>
      </c>
      <c r="T20" s="2205">
        <f t="shared" si="11"/>
        <v>1</v>
      </c>
      <c r="U20" s="2205">
        <f t="shared" si="11"/>
        <v>1</v>
      </c>
      <c r="V20" s="2205">
        <f t="shared" si="11"/>
        <v>1</v>
      </c>
      <c r="W20" s="2205">
        <f t="shared" si="11"/>
        <v>1</v>
      </c>
      <c r="X20" s="2205">
        <f t="shared" si="11"/>
        <v>1</v>
      </c>
      <c r="Y20" s="2205">
        <f t="shared" si="11"/>
        <v>1</v>
      </c>
      <c r="Z20" s="2204">
        <f t="shared" si="11"/>
        <v>1</v>
      </c>
      <c r="AA20" s="2205">
        <f t="shared" si="11"/>
        <v>1</v>
      </c>
      <c r="AB20" s="2204">
        <f t="shared" si="11"/>
        <v>1</v>
      </c>
      <c r="AC20" s="2205">
        <f t="shared" si="11"/>
        <v>1</v>
      </c>
      <c r="AD20" s="2204">
        <f t="shared" si="11"/>
        <v>1</v>
      </c>
      <c r="AE20" s="2205">
        <f t="shared" si="11"/>
        <v>1</v>
      </c>
      <c r="AF20" s="2204">
        <f t="shared" si="11"/>
        <v>1</v>
      </c>
      <c r="AG20" s="2204">
        <f t="shared" si="11"/>
        <v>0.75</v>
      </c>
      <c r="AH20" s="2204">
        <f t="shared" si="11"/>
        <v>0.75</v>
      </c>
      <c r="AI20" s="2205">
        <f t="shared" si="11"/>
        <v>1</v>
      </c>
      <c r="AJ20" s="2204">
        <f t="shared" si="11"/>
        <v>1</v>
      </c>
      <c r="AK20" s="2208"/>
      <c r="AL20" s="2208"/>
      <c r="AM20" s="2208"/>
      <c r="AN20" s="2208"/>
      <c r="AO20" s="2208"/>
      <c r="AP20" s="2208"/>
    </row>
  </sheetData>
  <mergeCells count="22">
    <mergeCell ref="AC4:AD4"/>
    <mergeCell ref="AE4:AF4"/>
    <mergeCell ref="A2:C2"/>
    <mergeCell ref="D2:AJ3"/>
    <mergeCell ref="A3:C4"/>
    <mergeCell ref="D4:F4"/>
    <mergeCell ref="G4:I4"/>
    <mergeCell ref="L4:Q4"/>
    <mergeCell ref="R4:S4"/>
    <mergeCell ref="AI4:AJ4"/>
    <mergeCell ref="B15:C15"/>
    <mergeCell ref="B16:C16"/>
    <mergeCell ref="B17:C17"/>
    <mergeCell ref="B18:C18"/>
    <mergeCell ref="T4:Z4"/>
    <mergeCell ref="AA4:AB4"/>
    <mergeCell ref="A7:A9"/>
    <mergeCell ref="B8:B9"/>
    <mergeCell ref="A11:A12"/>
    <mergeCell ref="A14:A20"/>
    <mergeCell ref="B14:C14"/>
    <mergeCell ref="B20:C20"/>
  </mergeCells>
  <conditionalFormatting sqref="A3">
    <cfRule type="containsText" dxfId="0" priority="1" operator="containsText" text="voor">
      <formula>NOT(ISERROR(SEARCH(("voor"),(A3))))</formula>
    </cfRule>
  </conditionalFormatting>
  <conditionalFormatting sqref="A3">
    <cfRule type="containsText" dxfId="1" priority="2" operator="containsText" text="tegen">
      <formula>NOT(ISERROR(SEARCH(("tegen"),(A3))))</formula>
    </cfRule>
  </conditionalFormatting>
  <conditionalFormatting sqref="D7:K12 L7:L9 M7:AP12 C11 L11:L12">
    <cfRule type="containsText" dxfId="2" priority="3" operator="containsText" text="SO">
      <formula>NOT(ISERROR(SEARCH(("SO"),(D7))))</formula>
    </cfRule>
  </conditionalFormatting>
  <conditionalFormatting sqref="A3 D7:K12 L7:L9 M7:AP12 C11 L11:L12">
    <cfRule type="containsText" dxfId="3" priority="4" operator="containsText" text="tegen">
      <formula>NOT(ISERROR(SEARCH(("tegen"),(A3))))</formula>
    </cfRule>
  </conditionalFormatting>
  <conditionalFormatting sqref="D7:K12 L7:L9 M7:AP12 C11 L11:L12">
    <cfRule type="containsText" dxfId="4" priority="5" operator="containsText" text="voor">
      <formula>NOT(ISERROR(SEARCH(("voor"),(D7))))</formula>
    </cfRule>
  </conditionalFormatting>
  <conditionalFormatting sqref="D7:K12 L7:L9 M7:AP12 C11 L11:L12">
    <cfRule type="cellIs" dxfId="5" priority="6" operator="equal">
      <formula>"NG"</formula>
    </cfRule>
  </conditionalFormatting>
  <conditionalFormatting sqref="D7:K12 L7:L9 M7:AP12 C11 L11:L12">
    <cfRule type="containsText" dxfId="6" priority="7" operator="containsText" text="NVT">
      <formula>NOT(ISERROR(SEARCH(("NVT"),(D7))))</formula>
    </cfRule>
  </conditionalFormatting>
  <hyperlinks>
    <hyperlink r:id="rId1" ref="D4"/>
    <hyperlink r:id="rId2" ref="G4"/>
    <hyperlink r:id="rId3" ref="J4"/>
    <hyperlink r:id="rId4" ref="K4"/>
    <hyperlink r:id="rId5" ref="L4"/>
    <hyperlink r:id="rId6" ref="R4"/>
    <hyperlink r:id="rId7" ref="K5"/>
  </hyperlinks>
  <drawing r:id="rId8"/>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CC4125"/>
    <outlinePr summaryBelow="0" summaryRight="0"/>
  </sheetPr>
  <sheetViews>
    <sheetView workbookViewId="0">
      <pane xSplit="3.0" ySplit="6.0" topLeftCell="D7" activePane="bottomRight" state="frozen"/>
      <selection activeCell="D1" sqref="D1" pane="topRight"/>
      <selection activeCell="A7" sqref="A7" pane="bottomLeft"/>
      <selection activeCell="D7" sqref="D7" pane="bottomRight"/>
    </sheetView>
  </sheetViews>
  <sheetFormatPr customHeight="1" defaultColWidth="14.43" defaultRowHeight="15.75"/>
  <cols>
    <col customWidth="1" min="1" max="1" width="10.86"/>
    <col customWidth="1" min="2" max="2" width="11.0"/>
    <col customWidth="1" min="3" max="3" width="26.29"/>
    <col customWidth="1" min="49" max="50" width="20.43"/>
  </cols>
  <sheetData>
    <row r="1" ht="18.75" customHeight="1">
      <c r="A1" s="127"/>
      <c r="B1" s="128"/>
      <c r="C1" s="128"/>
      <c r="D1" s="128"/>
      <c r="E1" s="128"/>
      <c r="F1" s="128"/>
      <c r="G1" s="128"/>
      <c r="H1" s="128"/>
      <c r="I1" s="128"/>
      <c r="J1" s="128"/>
      <c r="K1" s="128"/>
      <c r="L1" s="128"/>
      <c r="M1" s="128"/>
      <c r="N1" s="128"/>
      <c r="O1" s="128"/>
      <c r="P1" s="128"/>
      <c r="Q1" s="128"/>
      <c r="R1" s="129"/>
      <c r="S1" s="129"/>
      <c r="T1" s="129"/>
      <c r="U1" s="129"/>
      <c r="V1" s="129"/>
      <c r="W1" s="129"/>
      <c r="X1" s="129"/>
      <c r="Y1" s="129"/>
      <c r="Z1" s="129"/>
      <c r="AA1" s="129"/>
      <c r="AB1" s="129"/>
      <c r="AC1" s="129"/>
      <c r="AD1" s="129"/>
      <c r="AE1" s="129"/>
      <c r="AF1" s="129"/>
      <c r="AG1" s="129"/>
      <c r="AH1" s="129"/>
      <c r="AI1" s="129"/>
      <c r="AJ1" s="129"/>
      <c r="AK1" s="129"/>
      <c r="AL1" s="129"/>
      <c r="AM1" s="129"/>
      <c r="AN1" s="129"/>
      <c r="AO1" s="129"/>
      <c r="AP1" s="129"/>
      <c r="AQ1" s="129"/>
      <c r="AR1" s="129"/>
      <c r="AS1" s="129"/>
      <c r="AT1" s="129"/>
      <c r="AU1" s="129"/>
      <c r="AV1" s="129"/>
      <c r="AW1" s="129"/>
      <c r="AX1" s="129"/>
    </row>
    <row r="2" ht="18.75" customHeight="1">
      <c r="A2" s="130" t="s">
        <v>1031</v>
      </c>
      <c r="B2" s="131"/>
      <c r="C2" s="132"/>
      <c r="D2" s="133" t="s">
        <v>1728</v>
      </c>
      <c r="E2" s="124"/>
      <c r="F2" s="124"/>
      <c r="G2" s="124"/>
      <c r="H2" s="124"/>
      <c r="I2" s="124"/>
      <c r="J2" s="124"/>
      <c r="K2" s="124"/>
      <c r="L2" s="124"/>
      <c r="M2" s="124"/>
      <c r="N2" s="124"/>
      <c r="O2" s="124"/>
      <c r="P2" s="124"/>
      <c r="Q2" s="124"/>
      <c r="R2" s="124"/>
      <c r="S2" s="124"/>
      <c r="T2" s="124"/>
      <c r="U2" s="124"/>
      <c r="V2" s="124"/>
      <c r="W2" s="124"/>
      <c r="X2" s="124"/>
      <c r="Y2" s="124"/>
      <c r="Z2" s="124"/>
      <c r="AA2" s="124"/>
      <c r="AB2" s="124"/>
      <c r="AC2" s="124"/>
      <c r="AD2" s="124"/>
      <c r="AE2" s="124"/>
      <c r="AF2" s="124"/>
      <c r="AG2" s="124"/>
      <c r="AH2" s="124"/>
      <c r="AI2" s="124"/>
      <c r="AJ2" s="124"/>
      <c r="AK2" s="124"/>
      <c r="AL2" s="124"/>
      <c r="AM2" s="124"/>
      <c r="AN2" s="124"/>
      <c r="AO2" s="124"/>
      <c r="AP2" s="124"/>
      <c r="AQ2" s="124"/>
      <c r="AR2" s="124"/>
      <c r="AS2" s="124"/>
      <c r="AT2" s="124"/>
      <c r="AU2" s="124"/>
      <c r="AV2" s="124"/>
      <c r="AW2" s="20"/>
      <c r="AX2" s="2145"/>
    </row>
    <row r="3" ht="18.75" customHeight="1">
      <c r="A3" s="2209" t="s">
        <v>1729</v>
      </c>
      <c r="C3" s="135"/>
      <c r="D3" s="43"/>
      <c r="AW3" s="44"/>
      <c r="AX3" s="2145"/>
    </row>
    <row r="4" ht="18.75" customHeight="1">
      <c r="C4" s="135"/>
      <c r="D4" s="26"/>
      <c r="E4" s="330"/>
      <c r="F4" s="330"/>
      <c r="G4" s="330"/>
      <c r="H4" s="330"/>
      <c r="I4" s="330"/>
      <c r="J4" s="330"/>
      <c r="K4" s="330"/>
      <c r="L4" s="330"/>
      <c r="M4" s="330"/>
      <c r="N4" s="330"/>
      <c r="O4" s="330"/>
      <c r="P4" s="330"/>
      <c r="Q4" s="330"/>
      <c r="R4" s="330"/>
      <c r="S4" s="330"/>
      <c r="T4" s="330"/>
      <c r="U4" s="330"/>
      <c r="V4" s="330"/>
      <c r="W4" s="330"/>
      <c r="X4" s="330"/>
      <c r="Y4" s="330"/>
      <c r="Z4" s="330"/>
      <c r="AA4" s="330"/>
      <c r="AB4" s="330"/>
      <c r="AC4" s="330"/>
      <c r="AD4" s="330"/>
      <c r="AE4" s="330"/>
      <c r="AF4" s="330"/>
      <c r="AG4" s="330"/>
      <c r="AH4" s="330"/>
      <c r="AI4" s="330"/>
      <c r="AJ4" s="330"/>
      <c r="AK4" s="330"/>
      <c r="AL4" s="330"/>
      <c r="AM4" s="330"/>
      <c r="AN4" s="330"/>
      <c r="AO4" s="330"/>
      <c r="AP4" s="330"/>
      <c r="AQ4" s="330"/>
      <c r="AR4" s="330"/>
      <c r="AS4" s="330"/>
      <c r="AT4" s="330"/>
      <c r="AU4" s="330"/>
      <c r="AV4" s="330"/>
      <c r="AW4" s="27"/>
      <c r="AX4" s="2145"/>
    </row>
    <row r="5" ht="18.75" customHeight="1">
      <c r="A5" s="139" t="s">
        <v>86</v>
      </c>
      <c r="B5" s="140" t="s">
        <v>87</v>
      </c>
      <c r="C5" s="141" t="s">
        <v>88</v>
      </c>
      <c r="D5" s="2002" t="str">
        <f>hyperlink("https://www.reddit.com/r/RMTK/comments/e1jtyu/m0126_motie_tot_opzetten_stimuleringsfonds/","M0126")</f>
        <v>M0126</v>
      </c>
      <c r="E5" s="2002" t="str">
        <f>hyperlink("https://www.reddit.com/r/RMTK/comments/e208vb/m0127_motie_tot_verzoek_oorlogsverklaring/","M0127")</f>
        <v>M0127</v>
      </c>
      <c r="F5" s="2002" t="str">
        <f>hyperlink("https://www.reddit.com/r/RMTK/comments/e2ztqm/m0128_motie_tot_een_ruimhartiger_asielbeleid/","M0128")</f>
        <v>M0128</v>
      </c>
      <c r="G5" s="2005" t="str">
        <f>hyperlink("https://www.reddit.com/r/RMTK/comments/e4zuxw/m0129_motie_omtrent_het_opruimen_van_korrels_van/","M0129")</f>
        <v>M0129</v>
      </c>
      <c r="H5" s="2005" t="str">
        <f>hyperlink("https://www.reddit.com/r/RMTK/comments/e5hzkw/m0131_motie_tot_het_instellen_van_een_meldplicht/","M0131")</f>
        <v>M0131</v>
      </c>
      <c r="I5" s="2005" t="str">
        <f>hyperlink("https://www.reddit.com/r/RMTK/comments/e5znmk/w0054_grondwetswijziging_ter/","W0054")</f>
        <v>W0054</v>
      </c>
      <c r="J5" s="2005" t="str">
        <f>hyperlink("https://www.reddit.com/r/RMTK/comments/e6gw21/w0055_wetswijziging_tot_het_uitbreiden_van_de/","W0055")</f>
        <v>W0055</v>
      </c>
      <c r="K5" s="2005" t="str">
        <f>hyperlink("https://www.reddit.com/r/RMTK/comments/e8pqs7/w0056_wijziging_van_de_algemene_ouderdomswet/","W0056")</f>
        <v>W0056</v>
      </c>
      <c r="L5" s="2005" t="str">
        <f>hyperlink("https://www.reddit.com/r/RMTK/comments/ecd9jh/m0132_motie_van_afkeuring_tegen_de_voorzitter/","M0132")</f>
        <v>M0132</v>
      </c>
      <c r="M5" s="2005" t="str">
        <f>hyperlink("https://www.reddit.com/r/RMTK/comments/ecsj9d/m0133_motie_tot_erkenning_armeense_genocide/","M0133")</f>
        <v>M0133</v>
      </c>
      <c r="N5" s="2005" t="str">
        <f>hyperlink("https://www.reddit.com/r/RMTK/comments/ecbver/w0058_wet_verkorting_uitkeringsduur_appa_2020/","W0058")</f>
        <v>W0058</v>
      </c>
      <c r="O5" s="2005" t="str">
        <f>hyperlink("https://www.reddit.com/r/RMTK/comments/edxhs2/m0134_motie_tot_erkenning_van_de_genocide_op_de/","M0134")</f>
        <v>M0134</v>
      </c>
      <c r="P5" s="2005" t="str">
        <f>hyperlink("https://www.reddit.com/r/RMTK/comments/eek1v9/w0057i_amendement_tot_wijziging_van_het/","W0057-I")</f>
        <v>W0057-I</v>
      </c>
      <c r="Q5" s="2005" t="str">
        <f>hyperlink("https://www.reddit.com/r/RMTK/comments/efm3vz/w0059_wetsvoorstel_tot_budgettaire_begroting/","W0059")</f>
        <v>W0059</v>
      </c>
      <c r="R5" s="2005" t="str">
        <f>hyperlink("https://www.reddit.com/r/RMTK/comments/eixzg8/w0060_wetswijziging_tot_verhoging_algemene/","W0060")</f>
        <v>W0060</v>
      </c>
      <c r="S5" s="2005" t="str">
        <f>hyperlink("https://www.reddit.com/r/RMTK/comments/eixzgh/m0135_motie_tot_het_gratis_maken_van/","M0135")</f>
        <v>M0135</v>
      </c>
      <c r="T5" s="2005" t="str">
        <f>hyperlink("https://www.reddit.com/r/RMTK/comments/em9c3k/w0061_rijkswet_afkondigings_en/","W0061")</f>
        <v>W0061</v>
      </c>
      <c r="U5" s="2005" t="str">
        <f>hyperlink("https://www.reddit.com/r/RMTK/comments/emrfn7/m0136_motie_tot_terugtrekking_van_amerikaanse/","M0136")</f>
        <v>M0136</v>
      </c>
      <c r="V5" s="2005" t="str">
        <f>hyperlink("https://www.reddit.com/r/RMTK/comments/eo3tv9/w0062_wet_tot_het_samenvoegen_van_de_rustwetten/","W0062")</f>
        <v>W0062</v>
      </c>
      <c r="W5" s="2005" t="str">
        <f>hyperlink("https://www.reddit.com/r/RMTK/comments/eokzf9/w0063_wet_tot_oprichting_van_het/","W0063")</f>
        <v>W0063</v>
      </c>
      <c r="X5" s="2005" t="str">
        <f>hyperlink("https://www.reddit.com/r/RMTK/comments/epax7w/w0057_wetsvoorstel_tot_oprichting_van_het_erica/","W0057")</f>
        <v>W0057</v>
      </c>
      <c r="Y5" s="2151" t="str">
        <f>hyperlink("https://www.reddit.com/r/RMTK/comments/ep21sj/m0137_motie_tot_het_goedkoper_maken_van_de/","M0137")</f>
        <v>M0137</v>
      </c>
      <c r="Z5" s="2149" t="str">
        <f>hyperlink("https://www.reddit.com/r/RMTK/comments/epj1fz/m0138_motie_tot_het_steunen_van_iraanse/","M0138")</f>
        <v>M0138</v>
      </c>
      <c r="AA5" s="2149" t="str">
        <f>hyperlink("https://www.reddit.com/r/RMTK/comments/epj1g9/m0139_motie_tot_verhoging_maximumsnelheid/","M0139")</f>
        <v>M0139</v>
      </c>
      <c r="AB5" s="2149" t="str">
        <f>hyperlink("https://www.reddit.com/r/RMTK/comments/ercxen/m0140_motie_tot_het_behouden_van_het_friese/","M0140")</f>
        <v>M0140</v>
      </c>
      <c r="AC5" s="2149" t="str">
        <f>hyperlink("https://www.reddit.com/r/RMTK/comments/esblyw/m0141_motie_tot_verbreding_staatsieportret_van/","M0141")</f>
        <v>M0141</v>
      </c>
      <c r="AD5" s="2149" t="str">
        <f>hyperlink("https://www.reddit.com/r/RMTK/comments/esssij/w0064_wet_gelijke_behandeling_op_grond_van/","W0064")</f>
        <v>W0064</v>
      </c>
      <c r="AE5" s="2151" t="str">
        <f>hyperlink("https://www.reddit.com/r/RMTK/comments/ev5bje/w0066_wijziging_van_de_kernenergiewet_ter/","W0066")</f>
        <v>W0066</v>
      </c>
      <c r="AF5" s="2149" t="str">
        <f>hyperlink("https://www.reddit.com/r/RMTK/comments/evvxqc/w0065_wetswijziging_drank_en_horecawet/","W0065")</f>
        <v>W0065</v>
      </c>
      <c r="AG5" s="2149" t="str">
        <f>hyperlink("https://www.reddit.com/r/RMTK/comments/ewnh2a/w0067_wetswijziging_afschaffing_verzwaarde/","W0067")</f>
        <v>W0067</v>
      </c>
      <c r="AH5" s="2149" t="str">
        <f>hyperlink("https://www.reddit.com/r/RMTK/comments/ey660k/w0068_wijziging_van_de_algemene_rustwet_voor_de/","W0068")</f>
        <v>W0068</v>
      </c>
      <c r="AI5" s="2149" t="str">
        <f>hyperlink("https://www.reddit.com/r/RMTK/comments/f1hnca/w0069i_wetsvoorstel_tot_oprichting_van_het_alan/","W0069-I")</f>
        <v>W0069-I</v>
      </c>
      <c r="AJ5" s="2149" t="str">
        <f>hyperlink("https://www.reddit.com/r/RMTK/comments/ez8jds/m0143_motie_tot_vestiging_nederlandse_ambassade/","M0143")</f>
        <v>M0143</v>
      </c>
      <c r="AK5" s="2149" t="str">
        <f>hyperlink("https://www.reddit.com/r/RMTK/comments/ewsp2r/m0144_motie_tot_onderzoek_naar_de_mogelijkheid/","M0144")</f>
        <v>M0144</v>
      </c>
      <c r="AL5" s="2149" t="str">
        <f>hyperlink("https://www.reddit.com/r/RMTK/comments/f1zkdu/m0145_motie_tot_het_oprichten_van_een_permanent/","M0145")</f>
        <v>M0145</v>
      </c>
      <c r="AM5" s="2149" t="str">
        <f>hyperlink("https://www.reddit.com/r/RMTK/comments/ewsp33/w0069_wetsvoorstel_tot_oprichting_alan/","W0069")</f>
        <v>W0069</v>
      </c>
      <c r="AN5" s="2149" t="str">
        <f>hyperlink("https://www.reddit.com/r/RMTK/comments/f58gig/w0070_voorstel_wet_derde_geslacht/","W0070")</f>
        <v>W0070</v>
      </c>
      <c r="AO5" s="2149" t="str">
        <f>hyperlink("https://www.reddit.com/r/RMTK/comments/f5rhvs/w0071_wet_op_de_kansspelen_2020/","W0071")</f>
        <v>W0071</v>
      </c>
      <c r="AP5" s="2149" t="str">
        <f>hyperlink("https://www.reddit.com/r/RMTK/comments/f99ym2/m0146_motie_tot_negatief_reisadvies_naar/","M0146")</f>
        <v>M0146</v>
      </c>
      <c r="AQ5" s="2149" t="str">
        <f>hyperlink("https://www.reddit.com/r/RMTK/comments/f71ubr/w0072_wet_tot_inkomensafhankelijke_regeling/","W0072")</f>
        <v>W0072</v>
      </c>
      <c r="AR5" s="2149" t="str">
        <f>hyperlink("https://www.reddit.com/r/RMTK/comments/falkwf/m0146_motie_tot_het_afschaffen_van_de_permanente/","M0147")</f>
        <v>M0147</v>
      </c>
      <c r="AS5" s="2149" t="str">
        <f>hyperlink("https://www.reddit.com/r/RMTK/comments/fc37je/m0148_motie_tot_het_in_werking_doen_treden_van/","M0148")</f>
        <v>M0148</v>
      </c>
      <c r="AT5" s="2149" t="str">
        <f>hyperlink("https://www.reddit.com/r/RMTK/comments/fd455m/w0072i_amendement_tot_wijziging_van_w0072_wet_tot/","W0072-I")</f>
        <v>W0072-I</v>
      </c>
      <c r="AU5" s="2149" t="str">
        <f>hyperlink("https://www.reddit.com/r/RMTK/comments/f9swuj/w0073_wet_tot_invoering_reinheitsgebot20/","W0073")</f>
        <v>W0073</v>
      </c>
      <c r="AV5" s="2149" t="str">
        <f>hyperlink("https://www.reddit.com/r/RMTK/comments/fd455r/w0073i_amendement_tot_wijziging_van_het/","W0073-I")</f>
        <v>W0073-I</v>
      </c>
      <c r="AW5" s="2149" t="str">
        <f>hyperlink("https://www.reddit.com/r/RMTK/comments/fcbr2f/w0074_wet_tot_invoeren_van_een_verplichte/","W0074")</f>
        <v>W0074</v>
      </c>
      <c r="AX5" s="2210"/>
    </row>
    <row r="6" ht="6.0" customHeight="1">
      <c r="A6" s="145"/>
      <c r="B6" s="146"/>
      <c r="C6" s="146"/>
      <c r="D6" s="147"/>
      <c r="E6" s="2018"/>
      <c r="F6" s="2018"/>
      <c r="G6" s="145"/>
      <c r="H6" s="2211"/>
      <c r="I6" s="2019"/>
      <c r="J6" s="2018"/>
      <c r="K6" s="2018"/>
      <c r="L6" s="2018"/>
      <c r="M6" s="2018"/>
      <c r="N6" s="2018"/>
      <c r="O6" s="2212"/>
      <c r="P6" s="2018"/>
      <c r="Q6" s="2018"/>
      <c r="R6" s="2018"/>
      <c r="S6" s="2018"/>
      <c r="T6" s="2018"/>
      <c r="U6" s="2018"/>
      <c r="V6" s="2018"/>
      <c r="W6" s="2018"/>
      <c r="X6" s="2018"/>
      <c r="Y6" s="2018"/>
      <c r="Z6" s="2018"/>
      <c r="AA6" s="2018"/>
      <c r="AB6" s="2018"/>
      <c r="AC6" s="2211"/>
      <c r="AD6" s="2211"/>
      <c r="AE6" s="2213"/>
      <c r="AF6" s="2213"/>
      <c r="AG6" s="2213"/>
      <c r="AH6" s="2213"/>
      <c r="AI6" s="2018"/>
      <c r="AJ6" s="2018"/>
      <c r="AK6" s="2018"/>
      <c r="AL6" s="2018"/>
      <c r="AM6" s="2211"/>
      <c r="AN6" s="2213"/>
      <c r="AO6" s="2213"/>
      <c r="AP6" s="2211"/>
      <c r="AQ6" s="2211"/>
      <c r="AR6" s="2213"/>
      <c r="AS6" s="2213"/>
      <c r="AT6" s="2213"/>
      <c r="AU6" s="2211"/>
      <c r="AV6" s="2213"/>
      <c r="AW6" s="2213"/>
      <c r="AX6" s="2214"/>
    </row>
    <row r="7" ht="18.75" customHeight="1">
      <c r="A7" s="149" t="s">
        <v>1730</v>
      </c>
      <c r="B7" s="177" t="s">
        <v>24</v>
      </c>
      <c r="C7" s="178" t="s">
        <v>25</v>
      </c>
      <c r="D7" s="252" t="s">
        <v>91</v>
      </c>
      <c r="E7" s="252" t="s">
        <v>92</v>
      </c>
      <c r="F7" s="252" t="s">
        <v>91</v>
      </c>
      <c r="G7" s="561" t="s">
        <v>91</v>
      </c>
      <c r="H7" s="252" t="s">
        <v>91</v>
      </c>
      <c r="I7" s="252" t="s">
        <v>91</v>
      </c>
      <c r="J7" s="402" t="s">
        <v>91</v>
      </c>
      <c r="K7" s="402" t="s">
        <v>92</v>
      </c>
      <c r="L7" s="402" t="s">
        <v>92</v>
      </c>
      <c r="M7" s="252" t="s">
        <v>93</v>
      </c>
      <c r="N7" s="402" t="s">
        <v>93</v>
      </c>
      <c r="O7" s="252" t="s">
        <v>91</v>
      </c>
      <c r="P7" s="252" t="s">
        <v>92</v>
      </c>
      <c r="Q7" s="402" t="s">
        <v>91</v>
      </c>
      <c r="R7" s="252" t="s">
        <v>91</v>
      </c>
      <c r="S7" s="402" t="s">
        <v>91</v>
      </c>
      <c r="T7" s="252" t="s">
        <v>91</v>
      </c>
      <c r="U7" s="252" t="s">
        <v>91</v>
      </c>
      <c r="V7" s="252" t="s">
        <v>91</v>
      </c>
      <c r="W7" s="252" t="s">
        <v>91</v>
      </c>
      <c r="X7" s="402" t="s">
        <v>92</v>
      </c>
      <c r="Y7" s="252" t="s">
        <v>93</v>
      </c>
      <c r="Z7" s="252" t="s">
        <v>93</v>
      </c>
      <c r="AA7" s="252" t="s">
        <v>93</v>
      </c>
      <c r="AB7" s="402" t="s">
        <v>93</v>
      </c>
      <c r="AC7" s="2215" t="s">
        <v>92</v>
      </c>
      <c r="AD7" s="2216" t="s">
        <v>91</v>
      </c>
      <c r="AE7" s="252" t="s">
        <v>91</v>
      </c>
      <c r="AF7" s="252" t="s">
        <v>91</v>
      </c>
      <c r="AG7" s="252" t="s">
        <v>91</v>
      </c>
      <c r="AH7" s="402" t="s">
        <v>91</v>
      </c>
      <c r="AI7" s="252" t="s">
        <v>92</v>
      </c>
      <c r="AJ7" s="252" t="s">
        <v>91</v>
      </c>
      <c r="AK7" s="252" t="s">
        <v>91</v>
      </c>
      <c r="AL7" s="402" t="s">
        <v>91</v>
      </c>
      <c r="AM7" s="252" t="s">
        <v>91</v>
      </c>
      <c r="AN7" s="252" t="s">
        <v>92</v>
      </c>
      <c r="AO7" s="402" t="s">
        <v>91</v>
      </c>
      <c r="AP7" s="252" t="s">
        <v>91</v>
      </c>
      <c r="AQ7" s="402" t="s">
        <v>91</v>
      </c>
      <c r="AR7" s="252" t="s">
        <v>91</v>
      </c>
      <c r="AS7" s="252" t="s">
        <v>92</v>
      </c>
      <c r="AT7" s="252" t="s">
        <v>92</v>
      </c>
      <c r="AU7" s="252" t="s">
        <v>91</v>
      </c>
      <c r="AV7" s="252" t="s">
        <v>91</v>
      </c>
      <c r="AW7" s="402" t="s">
        <v>91</v>
      </c>
      <c r="AX7" s="252"/>
    </row>
    <row r="8" ht="18.75" customHeight="1">
      <c r="A8" s="158"/>
      <c r="B8" s="135"/>
      <c r="C8" s="179" t="s">
        <v>141</v>
      </c>
      <c r="D8" s="252" t="s">
        <v>91</v>
      </c>
      <c r="E8" s="252" t="s">
        <v>92</v>
      </c>
      <c r="F8" s="252" t="s">
        <v>91</v>
      </c>
      <c r="G8" s="561" t="s">
        <v>91</v>
      </c>
      <c r="H8" s="252" t="s">
        <v>91</v>
      </c>
      <c r="I8" s="252" t="s">
        <v>91</v>
      </c>
      <c r="J8" s="402" t="s">
        <v>91</v>
      </c>
      <c r="K8" s="402" t="s">
        <v>91</v>
      </c>
      <c r="L8" s="402" t="s">
        <v>92</v>
      </c>
      <c r="M8" s="252" t="s">
        <v>91</v>
      </c>
      <c r="N8" s="402" t="s">
        <v>91</v>
      </c>
      <c r="O8" s="2039" t="s">
        <v>91</v>
      </c>
      <c r="P8" s="252" t="s">
        <v>92</v>
      </c>
      <c r="Q8" s="2216" t="s">
        <v>91</v>
      </c>
      <c r="R8" s="2217" t="s">
        <v>91</v>
      </c>
      <c r="S8" s="2216" t="s">
        <v>91</v>
      </c>
      <c r="T8" s="252" t="s">
        <v>91</v>
      </c>
      <c r="U8" s="252" t="s">
        <v>91</v>
      </c>
      <c r="V8" s="252" t="s">
        <v>91</v>
      </c>
      <c r="W8" s="252" t="s">
        <v>91</v>
      </c>
      <c r="X8" s="402" t="s">
        <v>92</v>
      </c>
      <c r="Y8" s="252" t="s">
        <v>93</v>
      </c>
      <c r="Z8" s="252" t="s">
        <v>93</v>
      </c>
      <c r="AA8" s="252" t="s">
        <v>93</v>
      </c>
      <c r="AB8" s="402" t="s">
        <v>93</v>
      </c>
      <c r="AC8" s="2215" t="s">
        <v>92</v>
      </c>
      <c r="AD8" s="2216" t="s">
        <v>91</v>
      </c>
      <c r="AE8" s="252" t="s">
        <v>91</v>
      </c>
      <c r="AF8" s="252" t="s">
        <v>91</v>
      </c>
      <c r="AG8" s="252" t="s">
        <v>91</v>
      </c>
      <c r="AH8" s="402" t="s">
        <v>91</v>
      </c>
      <c r="AI8" s="252" t="s">
        <v>92</v>
      </c>
      <c r="AJ8" s="252" t="s">
        <v>91</v>
      </c>
      <c r="AK8" s="252" t="s">
        <v>91</v>
      </c>
      <c r="AL8" s="402" t="s">
        <v>91</v>
      </c>
      <c r="AM8" s="252" t="s">
        <v>91</v>
      </c>
      <c r="AN8" s="252" t="s">
        <v>91</v>
      </c>
      <c r="AO8" s="402" t="s">
        <v>91</v>
      </c>
      <c r="AP8" s="252" t="s">
        <v>91</v>
      </c>
      <c r="AQ8" s="402" t="s">
        <v>91</v>
      </c>
      <c r="AR8" s="252" t="s">
        <v>91</v>
      </c>
      <c r="AS8" s="252" t="s">
        <v>92</v>
      </c>
      <c r="AT8" s="252" t="s">
        <v>91</v>
      </c>
      <c r="AU8" s="252" t="s">
        <v>91</v>
      </c>
      <c r="AV8" s="252" t="s">
        <v>91</v>
      </c>
      <c r="AW8" s="402" t="s">
        <v>91</v>
      </c>
      <c r="AX8" s="252"/>
    </row>
    <row r="9" ht="18.75" customHeight="1">
      <c r="A9" s="158"/>
      <c r="B9" s="135"/>
      <c r="C9" s="179" t="s">
        <v>1349</v>
      </c>
      <c r="D9" s="252" t="s">
        <v>91</v>
      </c>
      <c r="E9" s="252" t="s">
        <v>91</v>
      </c>
      <c r="F9" s="252" t="s">
        <v>91</v>
      </c>
      <c r="G9" s="561" t="s">
        <v>91</v>
      </c>
      <c r="H9" s="252" t="s">
        <v>91</v>
      </c>
      <c r="I9" s="252" t="s">
        <v>92</v>
      </c>
      <c r="J9" s="402" t="s">
        <v>117</v>
      </c>
      <c r="K9" s="402" t="s">
        <v>92</v>
      </c>
      <c r="L9" s="402" t="s">
        <v>91</v>
      </c>
      <c r="M9" s="252" t="s">
        <v>93</v>
      </c>
      <c r="N9" s="402" t="s">
        <v>93</v>
      </c>
      <c r="O9" s="252" t="s">
        <v>91</v>
      </c>
      <c r="P9" s="252" t="s">
        <v>91</v>
      </c>
      <c r="Q9" s="402" t="s">
        <v>91</v>
      </c>
      <c r="R9" s="252" t="s">
        <v>91</v>
      </c>
      <c r="S9" s="402" t="s">
        <v>91</v>
      </c>
      <c r="T9" s="252" t="s">
        <v>91</v>
      </c>
      <c r="U9" s="252" t="s">
        <v>91</v>
      </c>
      <c r="V9" s="252" t="s">
        <v>91</v>
      </c>
      <c r="W9" s="252" t="s">
        <v>91</v>
      </c>
      <c r="X9" s="402" t="s">
        <v>92</v>
      </c>
      <c r="Y9" s="252" t="s">
        <v>93</v>
      </c>
      <c r="Z9" s="252" t="s">
        <v>93</v>
      </c>
      <c r="AA9" s="252" t="s">
        <v>93</v>
      </c>
      <c r="AB9" s="402" t="s">
        <v>93</v>
      </c>
      <c r="AC9" s="2036" t="s">
        <v>93</v>
      </c>
      <c r="AD9" s="2218" t="s">
        <v>93</v>
      </c>
      <c r="AE9" s="252" t="s">
        <v>91</v>
      </c>
      <c r="AF9" s="252" t="s">
        <v>91</v>
      </c>
      <c r="AG9" s="252" t="s">
        <v>91</v>
      </c>
      <c r="AH9" s="402" t="s">
        <v>91</v>
      </c>
      <c r="AI9" s="252" t="s">
        <v>91</v>
      </c>
      <c r="AJ9" s="252" t="s">
        <v>91</v>
      </c>
      <c r="AK9" s="252" t="s">
        <v>91</v>
      </c>
      <c r="AL9" s="402" t="s">
        <v>91</v>
      </c>
      <c r="AM9" s="252" t="s">
        <v>91</v>
      </c>
      <c r="AN9" s="252" t="s">
        <v>92</v>
      </c>
      <c r="AO9" s="402" t="s">
        <v>91</v>
      </c>
      <c r="AP9" s="252" t="s">
        <v>91</v>
      </c>
      <c r="AQ9" s="402" t="s">
        <v>91</v>
      </c>
      <c r="AR9" s="2036" t="s">
        <v>93</v>
      </c>
      <c r="AS9" s="2036" t="s">
        <v>93</v>
      </c>
      <c r="AT9" s="2060" t="s">
        <v>93</v>
      </c>
      <c r="AU9" s="2036" t="s">
        <v>93</v>
      </c>
      <c r="AV9" s="2036" t="s">
        <v>93</v>
      </c>
      <c r="AW9" s="2218" t="s">
        <v>93</v>
      </c>
      <c r="AX9" s="2036"/>
    </row>
    <row r="10" ht="18.75" customHeight="1">
      <c r="A10" s="158"/>
      <c r="B10" s="2219" t="s">
        <v>36</v>
      </c>
      <c r="C10" s="2220" t="s">
        <v>102</v>
      </c>
      <c r="D10" s="252" t="s">
        <v>91</v>
      </c>
      <c r="E10" s="252" t="s">
        <v>92</v>
      </c>
      <c r="F10" s="252" t="s">
        <v>91</v>
      </c>
      <c r="G10" s="561" t="s">
        <v>93</v>
      </c>
      <c r="H10" s="2036" t="s">
        <v>93</v>
      </c>
      <c r="I10" s="252" t="s">
        <v>93</v>
      </c>
      <c r="J10" s="402" t="s">
        <v>93</v>
      </c>
      <c r="K10" s="402" t="s">
        <v>93</v>
      </c>
      <c r="L10" s="402" t="s">
        <v>93</v>
      </c>
      <c r="M10" s="252" t="s">
        <v>93</v>
      </c>
      <c r="N10" s="402" t="s">
        <v>93</v>
      </c>
      <c r="O10" s="252" t="s">
        <v>93</v>
      </c>
      <c r="P10" s="252" t="s">
        <v>93</v>
      </c>
      <c r="Q10" s="402" t="s">
        <v>93</v>
      </c>
      <c r="R10" s="252" t="s">
        <v>93</v>
      </c>
      <c r="S10" s="402" t="s">
        <v>93</v>
      </c>
      <c r="T10" s="252" t="s">
        <v>93</v>
      </c>
      <c r="U10" s="252" t="s">
        <v>93</v>
      </c>
      <c r="V10" s="252" t="s">
        <v>93</v>
      </c>
      <c r="W10" s="252" t="s">
        <v>93</v>
      </c>
      <c r="X10" s="402" t="s">
        <v>93</v>
      </c>
      <c r="Y10" s="252" t="s">
        <v>93</v>
      </c>
      <c r="Z10" s="252" t="s">
        <v>93</v>
      </c>
      <c r="AA10" s="252" t="s">
        <v>93</v>
      </c>
      <c r="AB10" s="402" t="s">
        <v>93</v>
      </c>
      <c r="AC10" s="2054" t="s">
        <v>118</v>
      </c>
      <c r="AD10" s="2221" t="s">
        <v>118</v>
      </c>
      <c r="AE10" s="2054" t="s">
        <v>118</v>
      </c>
      <c r="AF10" s="2054" t="s">
        <v>118</v>
      </c>
      <c r="AG10" s="2054" t="s">
        <v>118</v>
      </c>
      <c r="AH10" s="2221" t="s">
        <v>118</v>
      </c>
      <c r="AI10" s="252" t="s">
        <v>118</v>
      </c>
      <c r="AJ10" s="252" t="s">
        <v>118</v>
      </c>
      <c r="AK10" s="252" t="s">
        <v>118</v>
      </c>
      <c r="AL10" s="402" t="s">
        <v>118</v>
      </c>
      <c r="AM10" s="2222" t="s">
        <v>118</v>
      </c>
      <c r="AN10" s="2054" t="s">
        <v>118</v>
      </c>
      <c r="AO10" s="2221" t="s">
        <v>118</v>
      </c>
      <c r="AP10" s="2054" t="s">
        <v>118</v>
      </c>
      <c r="AQ10" s="2221" t="s">
        <v>118</v>
      </c>
      <c r="AR10" s="2054" t="s">
        <v>118</v>
      </c>
      <c r="AS10" s="2054" t="s">
        <v>118</v>
      </c>
      <c r="AT10" s="2223" t="s">
        <v>118</v>
      </c>
      <c r="AU10" s="2222" t="s">
        <v>118</v>
      </c>
      <c r="AV10" s="2054" t="s">
        <v>118</v>
      </c>
      <c r="AW10" s="2221" t="s">
        <v>118</v>
      </c>
      <c r="AX10" s="2054"/>
    </row>
    <row r="11" ht="18.75" customHeight="1">
      <c r="A11" s="158"/>
      <c r="B11" s="135"/>
      <c r="C11" s="2224" t="s">
        <v>134</v>
      </c>
      <c r="D11" s="252" t="s">
        <v>118</v>
      </c>
      <c r="E11" s="252" t="s">
        <v>118</v>
      </c>
      <c r="F11" s="252" t="s">
        <v>118</v>
      </c>
      <c r="G11" s="252" t="s">
        <v>118</v>
      </c>
      <c r="H11" s="252" t="s">
        <v>118</v>
      </c>
      <c r="I11" s="252" t="s">
        <v>118</v>
      </c>
      <c r="J11" s="252" t="s">
        <v>118</v>
      </c>
      <c r="K11" s="252" t="s">
        <v>118</v>
      </c>
      <c r="L11" s="252" t="s">
        <v>118</v>
      </c>
      <c r="M11" s="252" t="s">
        <v>118</v>
      </c>
      <c r="N11" s="252" t="s">
        <v>118</v>
      </c>
      <c r="O11" s="252" t="s">
        <v>118</v>
      </c>
      <c r="P11" s="252" t="s">
        <v>118</v>
      </c>
      <c r="Q11" s="252" t="s">
        <v>118</v>
      </c>
      <c r="R11" s="252" t="s">
        <v>118</v>
      </c>
      <c r="S11" s="252" t="s">
        <v>118</v>
      </c>
      <c r="T11" s="252" t="s">
        <v>118</v>
      </c>
      <c r="U11" s="252" t="s">
        <v>118</v>
      </c>
      <c r="V11" s="252" t="s">
        <v>118</v>
      </c>
      <c r="W11" s="252" t="s">
        <v>118</v>
      </c>
      <c r="X11" s="252" t="s">
        <v>118</v>
      </c>
      <c r="Y11" s="252" t="s">
        <v>118</v>
      </c>
      <c r="Z11" s="252" t="s">
        <v>118</v>
      </c>
      <c r="AA11" s="252" t="s">
        <v>118</v>
      </c>
      <c r="AB11" s="402" t="s">
        <v>118</v>
      </c>
      <c r="AC11" s="252" t="s">
        <v>91</v>
      </c>
      <c r="AD11" s="402" t="s">
        <v>91</v>
      </c>
      <c r="AE11" s="252" t="s">
        <v>91</v>
      </c>
      <c r="AF11" s="252" t="s">
        <v>91</v>
      </c>
      <c r="AG11" s="252" t="s">
        <v>92</v>
      </c>
      <c r="AH11" s="402" t="s">
        <v>91</v>
      </c>
      <c r="AI11" s="252" t="s">
        <v>92</v>
      </c>
      <c r="AJ11" s="252" t="s">
        <v>92</v>
      </c>
      <c r="AK11" s="252" t="s">
        <v>91</v>
      </c>
      <c r="AL11" s="402" t="s">
        <v>92</v>
      </c>
      <c r="AM11" s="252" t="s">
        <v>92</v>
      </c>
      <c r="AN11" s="252" t="s">
        <v>92</v>
      </c>
      <c r="AO11" s="402" t="s">
        <v>91</v>
      </c>
      <c r="AP11" s="2036" t="s">
        <v>93</v>
      </c>
      <c r="AQ11" s="2218" t="s">
        <v>93</v>
      </c>
      <c r="AR11" s="2036" t="s">
        <v>93</v>
      </c>
      <c r="AS11" s="2036" t="s">
        <v>93</v>
      </c>
      <c r="AT11" s="2060" t="s">
        <v>93</v>
      </c>
      <c r="AU11" s="2036" t="s">
        <v>93</v>
      </c>
      <c r="AV11" s="2036" t="s">
        <v>93</v>
      </c>
      <c r="AW11" s="2218" t="s">
        <v>93</v>
      </c>
      <c r="AX11" s="2036"/>
    </row>
    <row r="12" ht="18.75" customHeight="1">
      <c r="A12" s="158"/>
      <c r="B12" s="135"/>
      <c r="C12" s="2224" t="s">
        <v>176</v>
      </c>
      <c r="D12" s="252" t="s">
        <v>93</v>
      </c>
      <c r="E12" s="252" t="s">
        <v>93</v>
      </c>
      <c r="F12" s="252" t="s">
        <v>93</v>
      </c>
      <c r="G12" s="561" t="s">
        <v>91</v>
      </c>
      <c r="H12" s="252" t="s">
        <v>92</v>
      </c>
      <c r="I12" s="252" t="s">
        <v>91</v>
      </c>
      <c r="J12" s="402" t="s">
        <v>91</v>
      </c>
      <c r="K12" s="402" t="s">
        <v>92</v>
      </c>
      <c r="L12" s="402" t="s">
        <v>92</v>
      </c>
      <c r="M12" s="252" t="s">
        <v>91</v>
      </c>
      <c r="N12" s="402" t="s">
        <v>91</v>
      </c>
      <c r="O12" s="252" t="s">
        <v>91</v>
      </c>
      <c r="P12" s="252" t="s">
        <v>92</v>
      </c>
      <c r="Q12" s="402" t="s">
        <v>91</v>
      </c>
      <c r="R12" s="252" t="s">
        <v>93</v>
      </c>
      <c r="S12" s="402" t="s">
        <v>93</v>
      </c>
      <c r="T12" s="252" t="s">
        <v>92</v>
      </c>
      <c r="U12" s="252" t="s">
        <v>92</v>
      </c>
      <c r="V12" s="252" t="s">
        <v>91</v>
      </c>
      <c r="W12" s="252" t="s">
        <v>91</v>
      </c>
      <c r="X12" s="402" t="s">
        <v>92</v>
      </c>
      <c r="Y12" s="252" t="s">
        <v>91</v>
      </c>
      <c r="Z12" s="252" t="s">
        <v>91</v>
      </c>
      <c r="AA12" s="252" t="s">
        <v>91</v>
      </c>
      <c r="AB12" s="402" t="s">
        <v>117</v>
      </c>
      <c r="AC12" s="252" t="s">
        <v>91</v>
      </c>
      <c r="AD12" s="402" t="s">
        <v>91</v>
      </c>
      <c r="AE12" s="2036" t="s">
        <v>93</v>
      </c>
      <c r="AF12" s="2036" t="s">
        <v>93</v>
      </c>
      <c r="AG12" s="2036" t="s">
        <v>93</v>
      </c>
      <c r="AH12" s="2218" t="s">
        <v>93</v>
      </c>
      <c r="AI12" s="252" t="s">
        <v>92</v>
      </c>
      <c r="AJ12" s="252" t="s">
        <v>117</v>
      </c>
      <c r="AK12" s="252" t="s">
        <v>92</v>
      </c>
      <c r="AL12" s="402" t="s">
        <v>91</v>
      </c>
      <c r="AM12" s="2225" t="s">
        <v>93</v>
      </c>
      <c r="AN12" s="2036" t="s">
        <v>93</v>
      </c>
      <c r="AO12" s="2218" t="s">
        <v>93</v>
      </c>
      <c r="AP12" s="252" t="s">
        <v>117</v>
      </c>
      <c r="AQ12" s="402" t="s">
        <v>91</v>
      </c>
      <c r="AR12" s="252" t="s">
        <v>92</v>
      </c>
      <c r="AS12" s="252" t="s">
        <v>92</v>
      </c>
      <c r="AT12" s="252" t="s">
        <v>92</v>
      </c>
      <c r="AU12" s="252" t="s">
        <v>92</v>
      </c>
      <c r="AV12" s="252" t="s">
        <v>92</v>
      </c>
      <c r="AW12" s="402" t="s">
        <v>92</v>
      </c>
      <c r="AX12" s="252"/>
    </row>
    <row r="13" ht="18.75" customHeight="1">
      <c r="A13" s="158"/>
      <c r="B13" s="135"/>
      <c r="C13" s="162" t="s">
        <v>252</v>
      </c>
      <c r="D13" s="252" t="s">
        <v>91</v>
      </c>
      <c r="E13" s="252" t="s">
        <v>92</v>
      </c>
      <c r="F13" s="252" t="s">
        <v>91</v>
      </c>
      <c r="G13" s="561" t="s">
        <v>91</v>
      </c>
      <c r="H13" s="252" t="s">
        <v>117</v>
      </c>
      <c r="I13" s="252" t="s">
        <v>117</v>
      </c>
      <c r="J13" s="402" t="s">
        <v>117</v>
      </c>
      <c r="K13" s="402" t="s">
        <v>93</v>
      </c>
      <c r="L13" s="402" t="s">
        <v>92</v>
      </c>
      <c r="M13" s="252" t="s">
        <v>93</v>
      </c>
      <c r="N13" s="402" t="s">
        <v>93</v>
      </c>
      <c r="O13" s="252" t="s">
        <v>91</v>
      </c>
      <c r="P13" s="252" t="s">
        <v>92</v>
      </c>
      <c r="Q13" s="402" t="s">
        <v>91</v>
      </c>
      <c r="R13" s="252" t="s">
        <v>91</v>
      </c>
      <c r="S13" s="402" t="s">
        <v>92</v>
      </c>
      <c r="T13" s="252" t="s">
        <v>92</v>
      </c>
      <c r="U13" s="252" t="s">
        <v>91</v>
      </c>
      <c r="V13" s="252" t="s">
        <v>91</v>
      </c>
      <c r="W13" s="252" t="s">
        <v>91</v>
      </c>
      <c r="X13" s="402" t="s">
        <v>92</v>
      </c>
      <c r="Y13" s="252" t="s">
        <v>91</v>
      </c>
      <c r="Z13" s="252" t="s">
        <v>91</v>
      </c>
      <c r="AA13" s="252" t="s">
        <v>91</v>
      </c>
      <c r="AB13" s="402" t="s">
        <v>91</v>
      </c>
      <c r="AC13" s="2215" t="s">
        <v>92</v>
      </c>
      <c r="AD13" s="2216" t="s">
        <v>91</v>
      </c>
      <c r="AE13" s="252" t="s">
        <v>91</v>
      </c>
      <c r="AF13" s="252" t="s">
        <v>91</v>
      </c>
      <c r="AG13" s="252" t="s">
        <v>91</v>
      </c>
      <c r="AH13" s="402" t="s">
        <v>91</v>
      </c>
      <c r="AI13" s="252" t="s">
        <v>91</v>
      </c>
      <c r="AJ13" s="252" t="s">
        <v>91</v>
      </c>
      <c r="AK13" s="252" t="s">
        <v>91</v>
      </c>
      <c r="AL13" s="402" t="s">
        <v>91</v>
      </c>
      <c r="AM13" s="252" t="s">
        <v>92</v>
      </c>
      <c r="AN13" s="252" t="s">
        <v>92</v>
      </c>
      <c r="AO13" s="402" t="s">
        <v>91</v>
      </c>
      <c r="AP13" s="2036" t="s">
        <v>93</v>
      </c>
      <c r="AQ13" s="2218" t="s">
        <v>93</v>
      </c>
      <c r="AR13" s="2036" t="s">
        <v>93</v>
      </c>
      <c r="AS13" s="2036" t="s">
        <v>93</v>
      </c>
      <c r="AT13" s="2060" t="s">
        <v>93</v>
      </c>
      <c r="AU13" s="2036" t="s">
        <v>93</v>
      </c>
      <c r="AV13" s="2036" t="s">
        <v>93</v>
      </c>
      <c r="AW13" s="2218" t="s">
        <v>93</v>
      </c>
      <c r="AX13" s="2036"/>
    </row>
    <row r="14" ht="18.75" customHeight="1">
      <c r="A14" s="158"/>
      <c r="B14" s="135"/>
      <c r="C14" s="162" t="s">
        <v>1331</v>
      </c>
      <c r="D14" s="252" t="s">
        <v>91</v>
      </c>
      <c r="E14" s="252" t="s">
        <v>92</v>
      </c>
      <c r="F14" s="252" t="s">
        <v>91</v>
      </c>
      <c r="G14" s="561" t="s">
        <v>92</v>
      </c>
      <c r="H14" s="252" t="s">
        <v>92</v>
      </c>
      <c r="I14" s="252" t="s">
        <v>91</v>
      </c>
      <c r="J14" s="402" t="s">
        <v>91</v>
      </c>
      <c r="K14" s="402" t="s">
        <v>92</v>
      </c>
      <c r="L14" s="402" t="s">
        <v>92</v>
      </c>
      <c r="M14" s="252" t="s">
        <v>117</v>
      </c>
      <c r="N14" s="402" t="s">
        <v>91</v>
      </c>
      <c r="O14" s="252" t="s">
        <v>91</v>
      </c>
      <c r="P14" s="252" t="s">
        <v>92</v>
      </c>
      <c r="Q14" s="402" t="s">
        <v>91</v>
      </c>
      <c r="R14" s="252" t="s">
        <v>91</v>
      </c>
      <c r="S14" s="402" t="s">
        <v>117</v>
      </c>
      <c r="T14" s="252" t="s">
        <v>92</v>
      </c>
      <c r="U14" s="252" t="s">
        <v>92</v>
      </c>
      <c r="V14" s="252" t="s">
        <v>91</v>
      </c>
      <c r="W14" s="252" t="s">
        <v>91</v>
      </c>
      <c r="X14" s="402" t="s">
        <v>92</v>
      </c>
      <c r="Y14" s="252" t="s">
        <v>91</v>
      </c>
      <c r="Z14" s="252" t="s">
        <v>91</v>
      </c>
      <c r="AA14" s="252" t="s">
        <v>91</v>
      </c>
      <c r="AB14" s="402" t="s">
        <v>92</v>
      </c>
      <c r="AC14" s="2036" t="s">
        <v>93</v>
      </c>
      <c r="AD14" s="2218" t="s">
        <v>93</v>
      </c>
      <c r="AE14" s="252" t="s">
        <v>91</v>
      </c>
      <c r="AF14" s="252" t="s">
        <v>91</v>
      </c>
      <c r="AG14" s="252" t="s">
        <v>92</v>
      </c>
      <c r="AH14" s="402" t="s">
        <v>91</v>
      </c>
      <c r="AI14" s="252" t="s">
        <v>92</v>
      </c>
      <c r="AJ14" s="252" t="s">
        <v>92</v>
      </c>
      <c r="AK14" s="252" t="s">
        <v>91</v>
      </c>
      <c r="AL14" s="402" t="s">
        <v>92</v>
      </c>
      <c r="AM14" s="252" t="s">
        <v>91</v>
      </c>
      <c r="AN14" s="252" t="s">
        <v>92</v>
      </c>
      <c r="AO14" s="402" t="s">
        <v>91</v>
      </c>
      <c r="AP14" s="252" t="s">
        <v>92</v>
      </c>
      <c r="AQ14" s="402" t="s">
        <v>91</v>
      </c>
      <c r="AR14" s="2036" t="s">
        <v>93</v>
      </c>
      <c r="AS14" s="2036" t="s">
        <v>93</v>
      </c>
      <c r="AT14" s="2060" t="s">
        <v>93</v>
      </c>
      <c r="AU14" s="2036" t="s">
        <v>93</v>
      </c>
      <c r="AV14" s="2036" t="s">
        <v>93</v>
      </c>
      <c r="AW14" s="2218" t="s">
        <v>93</v>
      </c>
      <c r="AX14" s="2036"/>
    </row>
    <row r="15" ht="18.75" customHeight="1">
      <c r="A15" s="158"/>
      <c r="B15" s="135"/>
      <c r="C15" s="162" t="s">
        <v>37</v>
      </c>
      <c r="D15" s="252" t="s">
        <v>91</v>
      </c>
      <c r="E15" s="252" t="s">
        <v>92</v>
      </c>
      <c r="F15" s="252" t="s">
        <v>91</v>
      </c>
      <c r="G15" s="561" t="s">
        <v>91</v>
      </c>
      <c r="H15" s="252" t="s">
        <v>92</v>
      </c>
      <c r="I15" s="252" t="s">
        <v>91</v>
      </c>
      <c r="J15" s="402" t="s">
        <v>91</v>
      </c>
      <c r="K15" s="402" t="s">
        <v>91</v>
      </c>
      <c r="L15" s="402" t="s">
        <v>117</v>
      </c>
      <c r="M15" s="252" t="s">
        <v>91</v>
      </c>
      <c r="N15" s="402" t="s">
        <v>91</v>
      </c>
      <c r="O15" s="252" t="s">
        <v>91</v>
      </c>
      <c r="P15" s="252" t="s">
        <v>92</v>
      </c>
      <c r="Q15" s="402" t="s">
        <v>91</v>
      </c>
      <c r="R15" s="252" t="s">
        <v>91</v>
      </c>
      <c r="S15" s="402" t="s">
        <v>91</v>
      </c>
      <c r="T15" s="252" t="s">
        <v>92</v>
      </c>
      <c r="U15" s="252" t="s">
        <v>91</v>
      </c>
      <c r="V15" s="252" t="s">
        <v>91</v>
      </c>
      <c r="W15" s="252" t="s">
        <v>91</v>
      </c>
      <c r="X15" s="402" t="s">
        <v>92</v>
      </c>
      <c r="Y15" s="252" t="s">
        <v>91</v>
      </c>
      <c r="Z15" s="252" t="s">
        <v>91</v>
      </c>
      <c r="AA15" s="252" t="s">
        <v>117</v>
      </c>
      <c r="AB15" s="402" t="s">
        <v>92</v>
      </c>
      <c r="AC15" s="2215" t="s">
        <v>92</v>
      </c>
      <c r="AD15" s="2216" t="s">
        <v>91</v>
      </c>
      <c r="AE15" s="252" t="s">
        <v>91</v>
      </c>
      <c r="AF15" s="252" t="s">
        <v>91</v>
      </c>
      <c r="AG15" s="252" t="s">
        <v>92</v>
      </c>
      <c r="AH15" s="402" t="s">
        <v>91</v>
      </c>
      <c r="AI15" s="252" t="s">
        <v>92</v>
      </c>
      <c r="AJ15" s="252" t="s">
        <v>91</v>
      </c>
      <c r="AK15" s="252" t="s">
        <v>91</v>
      </c>
      <c r="AL15" s="402" t="s">
        <v>92</v>
      </c>
      <c r="AM15" s="252" t="s">
        <v>91</v>
      </c>
      <c r="AN15" s="252" t="s">
        <v>92</v>
      </c>
      <c r="AO15" s="402" t="s">
        <v>91</v>
      </c>
      <c r="AP15" s="252" t="s">
        <v>92</v>
      </c>
      <c r="AQ15" s="402" t="s">
        <v>91</v>
      </c>
      <c r="AR15" s="252" t="s">
        <v>92</v>
      </c>
      <c r="AS15" s="252" t="s">
        <v>92</v>
      </c>
      <c r="AT15" s="252" t="s">
        <v>92</v>
      </c>
      <c r="AU15" s="252" t="s">
        <v>91</v>
      </c>
      <c r="AV15" s="252" t="s">
        <v>91</v>
      </c>
      <c r="AW15" s="402" t="s">
        <v>91</v>
      </c>
      <c r="AX15" s="252"/>
    </row>
    <row r="16" ht="18.75" customHeight="1">
      <c r="A16" s="158"/>
      <c r="B16" s="135"/>
      <c r="C16" s="161" t="s">
        <v>326</v>
      </c>
      <c r="D16" s="252" t="s">
        <v>93</v>
      </c>
      <c r="E16" s="252" t="s">
        <v>93</v>
      </c>
      <c r="F16" s="252" t="s">
        <v>93</v>
      </c>
      <c r="G16" s="561" t="s">
        <v>93</v>
      </c>
      <c r="H16" s="2036" t="s">
        <v>93</v>
      </c>
      <c r="I16" s="252" t="s">
        <v>93</v>
      </c>
      <c r="J16" s="402" t="s">
        <v>93</v>
      </c>
      <c r="K16" s="402" t="s">
        <v>93</v>
      </c>
      <c r="L16" s="2226" t="s">
        <v>93</v>
      </c>
      <c r="M16" s="252" t="s">
        <v>93</v>
      </c>
      <c r="N16" s="402" t="s">
        <v>93</v>
      </c>
      <c r="O16" s="252" t="s">
        <v>93</v>
      </c>
      <c r="P16" s="252" t="s">
        <v>93</v>
      </c>
      <c r="Q16" s="402" t="s">
        <v>93</v>
      </c>
      <c r="R16" s="252" t="s">
        <v>93</v>
      </c>
      <c r="S16" s="402" t="s">
        <v>93</v>
      </c>
      <c r="T16" s="252" t="s">
        <v>93</v>
      </c>
      <c r="U16" s="252" t="s">
        <v>93</v>
      </c>
      <c r="V16" s="252" t="s">
        <v>93</v>
      </c>
      <c r="W16" s="252" t="s">
        <v>93</v>
      </c>
      <c r="X16" s="402" t="s">
        <v>93</v>
      </c>
      <c r="Y16" s="252" t="s">
        <v>93</v>
      </c>
      <c r="Z16" s="252" t="s">
        <v>93</v>
      </c>
      <c r="AA16" s="252" t="s">
        <v>93</v>
      </c>
      <c r="AB16" s="402" t="s">
        <v>93</v>
      </c>
      <c r="AC16" s="2215" t="s">
        <v>92</v>
      </c>
      <c r="AD16" s="2216" t="s">
        <v>91</v>
      </c>
      <c r="AE16" s="252" t="s">
        <v>91</v>
      </c>
      <c r="AF16" s="252" t="s">
        <v>91</v>
      </c>
      <c r="AG16" s="252" t="s">
        <v>92</v>
      </c>
      <c r="AH16" s="402" t="s">
        <v>91</v>
      </c>
      <c r="AI16" s="252" t="s">
        <v>93</v>
      </c>
      <c r="AJ16" s="252" t="s">
        <v>93</v>
      </c>
      <c r="AK16" s="252" t="s">
        <v>93</v>
      </c>
      <c r="AL16" s="402" t="s">
        <v>93</v>
      </c>
      <c r="AM16" s="252" t="s">
        <v>91</v>
      </c>
      <c r="AN16" s="252" t="s">
        <v>92</v>
      </c>
      <c r="AO16" s="402" t="s">
        <v>91</v>
      </c>
      <c r="AP16" s="2036" t="s">
        <v>93</v>
      </c>
      <c r="AQ16" s="2218" t="s">
        <v>93</v>
      </c>
      <c r="AR16" s="2036" t="s">
        <v>93</v>
      </c>
      <c r="AS16" s="2036" t="s">
        <v>93</v>
      </c>
      <c r="AT16" s="2060" t="s">
        <v>93</v>
      </c>
      <c r="AU16" s="2036" t="s">
        <v>93</v>
      </c>
      <c r="AV16" s="2036" t="s">
        <v>93</v>
      </c>
      <c r="AW16" s="2218" t="s">
        <v>93</v>
      </c>
      <c r="AX16" s="2036"/>
    </row>
    <row r="17" ht="18.75" customHeight="1">
      <c r="A17" s="158"/>
      <c r="B17" s="135"/>
      <c r="C17" s="162" t="s">
        <v>1338</v>
      </c>
      <c r="D17" s="252" t="s">
        <v>93</v>
      </c>
      <c r="E17" s="252" t="s">
        <v>93</v>
      </c>
      <c r="F17" s="252" t="s">
        <v>93</v>
      </c>
      <c r="G17" s="561" t="s">
        <v>93</v>
      </c>
      <c r="H17" s="2036" t="s">
        <v>93</v>
      </c>
      <c r="I17" s="252" t="s">
        <v>93</v>
      </c>
      <c r="J17" s="402" t="s">
        <v>93</v>
      </c>
      <c r="K17" s="402" t="s">
        <v>93</v>
      </c>
      <c r="L17" s="2226" t="s">
        <v>93</v>
      </c>
      <c r="M17" s="252" t="s">
        <v>93</v>
      </c>
      <c r="N17" s="402" t="s">
        <v>93</v>
      </c>
      <c r="O17" s="252" t="s">
        <v>93</v>
      </c>
      <c r="P17" s="252" t="s">
        <v>93</v>
      </c>
      <c r="Q17" s="402" t="s">
        <v>93</v>
      </c>
      <c r="R17" s="252" t="s">
        <v>93</v>
      </c>
      <c r="S17" s="402" t="s">
        <v>93</v>
      </c>
      <c r="T17" s="252" t="s">
        <v>93</v>
      </c>
      <c r="U17" s="252" t="s">
        <v>93</v>
      </c>
      <c r="V17" s="252" t="s">
        <v>93</v>
      </c>
      <c r="W17" s="252" t="s">
        <v>93</v>
      </c>
      <c r="X17" s="402" t="s">
        <v>93</v>
      </c>
      <c r="Y17" s="252" t="s">
        <v>93</v>
      </c>
      <c r="Z17" s="252" t="s">
        <v>93</v>
      </c>
      <c r="AA17" s="252" t="s">
        <v>93</v>
      </c>
      <c r="AB17" s="402" t="s">
        <v>93</v>
      </c>
      <c r="AC17" s="2036" t="s">
        <v>93</v>
      </c>
      <c r="AD17" s="2218" t="s">
        <v>93</v>
      </c>
      <c r="AE17" s="2036" t="s">
        <v>93</v>
      </c>
      <c r="AF17" s="2036" t="s">
        <v>93</v>
      </c>
      <c r="AG17" s="2036" t="s">
        <v>93</v>
      </c>
      <c r="AH17" s="2218" t="s">
        <v>93</v>
      </c>
      <c r="AI17" s="252" t="s">
        <v>93</v>
      </c>
      <c r="AJ17" s="252" t="s">
        <v>93</v>
      </c>
      <c r="AK17" s="252" t="s">
        <v>93</v>
      </c>
      <c r="AL17" s="402" t="s">
        <v>93</v>
      </c>
      <c r="AM17" s="2225" t="s">
        <v>93</v>
      </c>
      <c r="AN17" s="2036" t="s">
        <v>93</v>
      </c>
      <c r="AO17" s="2218" t="s">
        <v>93</v>
      </c>
      <c r="AP17" s="2036" t="s">
        <v>93</v>
      </c>
      <c r="AQ17" s="2218" t="s">
        <v>93</v>
      </c>
      <c r="AR17" s="2036" t="s">
        <v>93</v>
      </c>
      <c r="AS17" s="2036" t="s">
        <v>93</v>
      </c>
      <c r="AT17" s="2060" t="s">
        <v>93</v>
      </c>
      <c r="AU17" s="2036" t="s">
        <v>93</v>
      </c>
      <c r="AV17" s="2036" t="s">
        <v>93</v>
      </c>
      <c r="AW17" s="2218" t="s">
        <v>93</v>
      </c>
      <c r="AX17" s="2036"/>
    </row>
    <row r="18" ht="18.75" customHeight="1">
      <c r="A18" s="158"/>
      <c r="B18" s="2227" t="s">
        <v>375</v>
      </c>
      <c r="C18" s="2228" t="s">
        <v>206</v>
      </c>
      <c r="D18" s="252" t="s">
        <v>91</v>
      </c>
      <c r="E18" s="252" t="s">
        <v>92</v>
      </c>
      <c r="F18" s="252" t="s">
        <v>91</v>
      </c>
      <c r="G18" s="561" t="s">
        <v>91</v>
      </c>
      <c r="H18" s="252" t="s">
        <v>91</v>
      </c>
      <c r="I18" s="252" t="s">
        <v>91</v>
      </c>
      <c r="J18" s="402" t="s">
        <v>91</v>
      </c>
      <c r="K18" s="402" t="s">
        <v>92</v>
      </c>
      <c r="L18" s="402" t="s">
        <v>92</v>
      </c>
      <c r="M18" s="252" t="s">
        <v>91</v>
      </c>
      <c r="N18" s="402" t="s">
        <v>91</v>
      </c>
      <c r="O18" s="252" t="s">
        <v>117</v>
      </c>
      <c r="P18" s="252" t="s">
        <v>92</v>
      </c>
      <c r="Q18" s="402" t="s">
        <v>91</v>
      </c>
      <c r="R18" s="252" t="s">
        <v>91</v>
      </c>
      <c r="S18" s="402" t="s">
        <v>92</v>
      </c>
      <c r="T18" s="252" t="s">
        <v>92</v>
      </c>
      <c r="U18" s="252" t="s">
        <v>92</v>
      </c>
      <c r="V18" s="252" t="s">
        <v>91</v>
      </c>
      <c r="W18" s="252" t="s">
        <v>91</v>
      </c>
      <c r="X18" s="402" t="s">
        <v>92</v>
      </c>
      <c r="Y18" s="252" t="s">
        <v>91</v>
      </c>
      <c r="Z18" s="252" t="s">
        <v>92</v>
      </c>
      <c r="AA18" s="252" t="s">
        <v>92</v>
      </c>
      <c r="AB18" s="402" t="s">
        <v>92</v>
      </c>
      <c r="AC18" s="2215" t="s">
        <v>92</v>
      </c>
      <c r="AD18" s="2216" t="s">
        <v>91</v>
      </c>
      <c r="AE18" s="2217" t="s">
        <v>91</v>
      </c>
      <c r="AF18" s="2064" t="s">
        <v>92</v>
      </c>
      <c r="AG18" s="2064" t="s">
        <v>92</v>
      </c>
      <c r="AH18" s="164" t="s">
        <v>91</v>
      </c>
      <c r="AI18" s="252" t="s">
        <v>92</v>
      </c>
      <c r="AJ18" s="252" t="s">
        <v>91</v>
      </c>
      <c r="AK18" s="252" t="s">
        <v>91</v>
      </c>
      <c r="AL18" s="402" t="s">
        <v>91</v>
      </c>
      <c r="AM18" s="252" t="s">
        <v>91</v>
      </c>
      <c r="AN18" s="252" t="s">
        <v>91</v>
      </c>
      <c r="AO18" s="402" t="s">
        <v>92</v>
      </c>
      <c r="AP18" s="252" t="s">
        <v>117</v>
      </c>
      <c r="AQ18" s="402" t="s">
        <v>91</v>
      </c>
      <c r="AR18" s="2036" t="s">
        <v>93</v>
      </c>
      <c r="AS18" s="2036" t="s">
        <v>93</v>
      </c>
      <c r="AT18" s="2060" t="s">
        <v>93</v>
      </c>
      <c r="AU18" s="2036" t="s">
        <v>93</v>
      </c>
      <c r="AV18" s="2036" t="s">
        <v>93</v>
      </c>
      <c r="AW18" s="2218" t="s">
        <v>93</v>
      </c>
      <c r="AX18" s="2036"/>
    </row>
    <row r="19" ht="18.75" customHeight="1">
      <c r="A19" s="158"/>
      <c r="B19" s="135"/>
      <c r="C19" s="2229" t="s">
        <v>16</v>
      </c>
      <c r="D19" s="252" t="s">
        <v>91</v>
      </c>
      <c r="E19" s="252" t="s">
        <v>92</v>
      </c>
      <c r="F19" s="252" t="s">
        <v>91</v>
      </c>
      <c r="G19" s="561" t="s">
        <v>91</v>
      </c>
      <c r="H19" s="252" t="s">
        <v>91</v>
      </c>
      <c r="I19" s="252" t="s">
        <v>91</v>
      </c>
      <c r="J19" s="402" t="s">
        <v>91</v>
      </c>
      <c r="K19" s="402" t="s">
        <v>92</v>
      </c>
      <c r="L19" s="402" t="s">
        <v>92</v>
      </c>
      <c r="M19" s="252" t="s">
        <v>91</v>
      </c>
      <c r="N19" s="402" t="s">
        <v>91</v>
      </c>
      <c r="O19" s="252" t="s">
        <v>117</v>
      </c>
      <c r="P19" s="252" t="s">
        <v>92</v>
      </c>
      <c r="Q19" s="402" t="s">
        <v>91</v>
      </c>
      <c r="R19" s="252" t="s">
        <v>93</v>
      </c>
      <c r="S19" s="402" t="s">
        <v>93</v>
      </c>
      <c r="T19" s="252" t="s">
        <v>92</v>
      </c>
      <c r="U19" s="252" t="s">
        <v>92</v>
      </c>
      <c r="V19" s="252" t="s">
        <v>91</v>
      </c>
      <c r="W19" s="252" t="s">
        <v>91</v>
      </c>
      <c r="X19" s="402" t="s">
        <v>92</v>
      </c>
      <c r="Y19" s="252" t="s">
        <v>91</v>
      </c>
      <c r="Z19" s="252" t="s">
        <v>92</v>
      </c>
      <c r="AA19" s="252" t="s">
        <v>92</v>
      </c>
      <c r="AB19" s="402" t="s">
        <v>92</v>
      </c>
      <c r="AC19" s="2215" t="s">
        <v>92</v>
      </c>
      <c r="AD19" s="2216" t="s">
        <v>91</v>
      </c>
      <c r="AE19" s="2217" t="s">
        <v>91</v>
      </c>
      <c r="AF19" s="2064" t="s">
        <v>92</v>
      </c>
      <c r="AG19" s="2064" t="s">
        <v>92</v>
      </c>
      <c r="AH19" s="164" t="s">
        <v>91</v>
      </c>
      <c r="AI19" s="252" t="s">
        <v>92</v>
      </c>
      <c r="AJ19" s="252" t="s">
        <v>91</v>
      </c>
      <c r="AK19" s="252" t="s">
        <v>91</v>
      </c>
      <c r="AL19" s="402" t="s">
        <v>91</v>
      </c>
      <c r="AM19" s="252" t="s">
        <v>91</v>
      </c>
      <c r="AN19" s="252" t="s">
        <v>91</v>
      </c>
      <c r="AO19" s="402" t="s">
        <v>92</v>
      </c>
      <c r="AP19" s="252" t="s">
        <v>117</v>
      </c>
      <c r="AQ19" s="402" t="s">
        <v>91</v>
      </c>
      <c r="AR19" s="252" t="s">
        <v>92</v>
      </c>
      <c r="AS19" s="252" t="s">
        <v>92</v>
      </c>
      <c r="AT19" s="252" t="s">
        <v>92</v>
      </c>
      <c r="AU19" s="252" t="s">
        <v>117</v>
      </c>
      <c r="AV19" s="252" t="s">
        <v>91</v>
      </c>
      <c r="AW19" s="402" t="s">
        <v>91</v>
      </c>
      <c r="AX19" s="252"/>
    </row>
    <row r="20" ht="18.75" customHeight="1">
      <c r="A20" s="158"/>
      <c r="B20" s="135"/>
      <c r="C20" s="2229" t="s">
        <v>440</v>
      </c>
      <c r="D20" s="252" t="s">
        <v>91</v>
      </c>
      <c r="E20" s="252" t="s">
        <v>92</v>
      </c>
      <c r="F20" s="252" t="s">
        <v>91</v>
      </c>
      <c r="G20" s="561" t="s">
        <v>91</v>
      </c>
      <c r="H20" s="252" t="s">
        <v>91</v>
      </c>
      <c r="I20" s="252" t="s">
        <v>91</v>
      </c>
      <c r="J20" s="402" t="s">
        <v>91</v>
      </c>
      <c r="K20" s="402" t="s">
        <v>92</v>
      </c>
      <c r="L20" s="402" t="s">
        <v>92</v>
      </c>
      <c r="M20" s="252" t="s">
        <v>91</v>
      </c>
      <c r="N20" s="402" t="s">
        <v>91</v>
      </c>
      <c r="O20" s="252" t="s">
        <v>93</v>
      </c>
      <c r="P20" s="252" t="s">
        <v>92</v>
      </c>
      <c r="Q20" s="402" t="s">
        <v>91</v>
      </c>
      <c r="R20" s="252" t="s">
        <v>91</v>
      </c>
      <c r="S20" s="402" t="s">
        <v>91</v>
      </c>
      <c r="T20" s="252" t="s">
        <v>92</v>
      </c>
      <c r="U20" s="252" t="s">
        <v>92</v>
      </c>
      <c r="V20" s="252" t="s">
        <v>91</v>
      </c>
      <c r="W20" s="252" t="s">
        <v>91</v>
      </c>
      <c r="X20" s="402" t="s">
        <v>92</v>
      </c>
      <c r="Y20" s="252" t="s">
        <v>91</v>
      </c>
      <c r="Z20" s="252" t="s">
        <v>92</v>
      </c>
      <c r="AA20" s="252" t="s">
        <v>92</v>
      </c>
      <c r="AB20" s="402" t="s">
        <v>92</v>
      </c>
      <c r="AC20" s="252" t="s">
        <v>91</v>
      </c>
      <c r="AD20" s="402" t="s">
        <v>91</v>
      </c>
      <c r="AE20" s="2217" t="s">
        <v>91</v>
      </c>
      <c r="AF20" s="2064" t="s">
        <v>92</v>
      </c>
      <c r="AG20" s="2064" t="s">
        <v>92</v>
      </c>
      <c r="AH20" s="164" t="s">
        <v>91</v>
      </c>
      <c r="AI20" s="252" t="s">
        <v>92</v>
      </c>
      <c r="AJ20" s="252" t="s">
        <v>91</v>
      </c>
      <c r="AK20" s="252" t="s">
        <v>91</v>
      </c>
      <c r="AL20" s="402" t="s">
        <v>91</v>
      </c>
      <c r="AM20" s="252" t="s">
        <v>91</v>
      </c>
      <c r="AN20" s="252" t="s">
        <v>91</v>
      </c>
      <c r="AO20" s="402" t="s">
        <v>92</v>
      </c>
      <c r="AP20" s="252" t="s">
        <v>91</v>
      </c>
      <c r="AQ20" s="402" t="s">
        <v>91</v>
      </c>
      <c r="AR20" s="252" t="s">
        <v>92</v>
      </c>
      <c r="AS20" s="252" t="s">
        <v>92</v>
      </c>
      <c r="AT20" s="252" t="s">
        <v>92</v>
      </c>
      <c r="AU20" s="252" t="s">
        <v>117</v>
      </c>
      <c r="AV20" s="252" t="s">
        <v>91</v>
      </c>
      <c r="AW20" s="402" t="s">
        <v>91</v>
      </c>
      <c r="AX20" s="252"/>
    </row>
    <row r="21" ht="18.75" customHeight="1">
      <c r="A21" s="168"/>
      <c r="B21" s="135"/>
      <c r="C21" s="2230" t="s">
        <v>1342</v>
      </c>
      <c r="D21" s="252" t="s">
        <v>93</v>
      </c>
      <c r="E21" s="252" t="s">
        <v>93</v>
      </c>
      <c r="F21" s="252" t="s">
        <v>93</v>
      </c>
      <c r="G21" s="561" t="s">
        <v>93</v>
      </c>
      <c r="H21" s="2231" t="s">
        <v>93</v>
      </c>
      <c r="I21" s="252" t="s">
        <v>93</v>
      </c>
      <c r="J21" s="402" t="s">
        <v>93</v>
      </c>
      <c r="K21" s="402" t="s">
        <v>92</v>
      </c>
      <c r="L21" s="402" t="s">
        <v>92</v>
      </c>
      <c r="M21" s="252" t="s">
        <v>91</v>
      </c>
      <c r="N21" s="402" t="s">
        <v>91</v>
      </c>
      <c r="O21" s="252" t="s">
        <v>93</v>
      </c>
      <c r="P21" s="252" t="s">
        <v>92</v>
      </c>
      <c r="Q21" s="402" t="s">
        <v>91</v>
      </c>
      <c r="R21" s="252" t="s">
        <v>91</v>
      </c>
      <c r="S21" s="402" t="s">
        <v>92</v>
      </c>
      <c r="T21" s="252" t="s">
        <v>92</v>
      </c>
      <c r="U21" s="252" t="s">
        <v>92</v>
      </c>
      <c r="V21" s="252" t="s">
        <v>91</v>
      </c>
      <c r="W21" s="252" t="s">
        <v>91</v>
      </c>
      <c r="X21" s="402" t="s">
        <v>92</v>
      </c>
      <c r="Y21" s="252" t="s">
        <v>93</v>
      </c>
      <c r="Z21" s="252" t="s">
        <v>93</v>
      </c>
      <c r="AA21" s="252" t="s">
        <v>93</v>
      </c>
      <c r="AB21" s="402" t="s">
        <v>93</v>
      </c>
      <c r="AC21" s="2231" t="s">
        <v>93</v>
      </c>
      <c r="AD21" s="2232" t="s">
        <v>93</v>
      </c>
      <c r="AE21" s="2231" t="s">
        <v>93</v>
      </c>
      <c r="AF21" s="2231" t="s">
        <v>93</v>
      </c>
      <c r="AG21" s="2231" t="s">
        <v>93</v>
      </c>
      <c r="AH21" s="2232" t="s">
        <v>93</v>
      </c>
      <c r="AI21" s="252" t="s">
        <v>93</v>
      </c>
      <c r="AJ21" s="252" t="s">
        <v>93</v>
      </c>
      <c r="AK21" s="252" t="s">
        <v>93</v>
      </c>
      <c r="AL21" s="402" t="s">
        <v>93</v>
      </c>
      <c r="AM21" s="2233" t="s">
        <v>93</v>
      </c>
      <c r="AN21" s="2231" t="s">
        <v>93</v>
      </c>
      <c r="AO21" s="2232" t="s">
        <v>93</v>
      </c>
      <c r="AP21" s="2231" t="s">
        <v>93</v>
      </c>
      <c r="AQ21" s="2232" t="s">
        <v>93</v>
      </c>
      <c r="AR21" s="2231" t="s">
        <v>93</v>
      </c>
      <c r="AS21" s="2231" t="s">
        <v>93</v>
      </c>
      <c r="AT21" s="2234" t="s">
        <v>93</v>
      </c>
      <c r="AU21" s="2036" t="s">
        <v>93</v>
      </c>
      <c r="AV21" s="2231" t="s">
        <v>93</v>
      </c>
      <c r="AW21" s="2232" t="s">
        <v>93</v>
      </c>
      <c r="AX21" s="2036"/>
    </row>
    <row r="22" ht="9.75" customHeight="1">
      <c r="A22" s="170"/>
      <c r="B22" s="172"/>
      <c r="C22" s="172"/>
      <c r="D22" s="2235" t="str">
        <f t="shared" ref="D22:H22" si="1">LINKURL(D5)</f>
        <v>https://www.reddit.com/r/RMTK/comments/e1jtyu/m0126_motie_tot_opzetten_stimuleringsfonds/</v>
      </c>
      <c r="E22" s="2235" t="str">
        <f t="shared" si="1"/>
        <v>https://www.reddit.com/r/RMTK/comments/e208vb/m0127_motie_tot_verzoek_oorlogsverklaring/</v>
      </c>
      <c r="F22" s="2235" t="str">
        <f t="shared" si="1"/>
        <v>https://www.reddit.com/r/RMTK/comments/e2ztqm/m0128_motie_tot_een_ruimhartiger_asielbeleid/</v>
      </c>
      <c r="G22" s="2168" t="str">
        <f t="shared" si="1"/>
        <v>https://www.reddit.com/r/RMTK/comments/e4zuxw/m0129_motie_omtrent_het_opruimen_van_korrels_van/</v>
      </c>
      <c r="H22" s="2168" t="str">
        <f t="shared" si="1"/>
        <v>https://www.reddit.com/r/RMTK/comments/e5hzkw/m0131_motie_tot_het_instellen_van_een_meldplicht/</v>
      </c>
      <c r="I22" s="2236" t="s">
        <v>1731</v>
      </c>
      <c r="J22" s="2168" t="str">
        <f t="shared" ref="J22:AW22" si="2">LINKURL(J5)</f>
        <v>https://www.reddit.com/r/RMTK/comments/e6gw21/w0055_wetswijziging_tot_het_uitbreiden_van_de/</v>
      </c>
      <c r="K22" s="2168" t="str">
        <f t="shared" si="2"/>
        <v>https://www.reddit.com/r/RMTK/comments/e8pqs7/w0056_wijziging_van_de_algemene_ouderdomswet/</v>
      </c>
      <c r="L22" s="2168" t="str">
        <f t="shared" si="2"/>
        <v>https://www.reddit.com/r/RMTK/comments/ecd9jh/m0132_motie_van_afkeuring_tegen_de_voorzitter/</v>
      </c>
      <c r="M22" s="2168" t="str">
        <f t="shared" si="2"/>
        <v>https://www.reddit.com/r/RMTK/comments/ecsj9d/m0133_motie_tot_erkenning_armeense_genocide/</v>
      </c>
      <c r="N22" s="2168" t="str">
        <f t="shared" si="2"/>
        <v>https://www.reddit.com/r/RMTK/comments/ecbver/w0058_wet_verkorting_uitkeringsduur_appa_2020/</v>
      </c>
      <c r="O22" s="2235" t="str">
        <f t="shared" si="2"/>
        <v>https://www.reddit.com/r/RMTK/comments/edxhs2/m0134_motie_tot_erkenning_van_de_genocide_op_de/</v>
      </c>
      <c r="P22" s="2235" t="str">
        <f t="shared" si="2"/>
        <v>https://www.reddit.com/r/RMTK/comments/eek1v9/w0057i_amendement_tot_wijziging_van_het/</v>
      </c>
      <c r="Q22" s="2168" t="str">
        <f t="shared" si="2"/>
        <v>https://www.reddit.com/r/RMTK/comments/efm3vz/w0059_wetsvoorstel_tot_budgettaire_begroting/</v>
      </c>
      <c r="R22" s="2168" t="str">
        <f t="shared" si="2"/>
        <v>https://www.reddit.com/r/RMTK/comments/eixzg8/w0060_wetswijziging_tot_verhoging_algemene/</v>
      </c>
      <c r="S22" s="2235" t="str">
        <f t="shared" si="2"/>
        <v>https://www.reddit.com/r/RMTK/comments/eixzgh/m0135_motie_tot_het_gratis_maken_van/</v>
      </c>
      <c r="T22" s="2168" t="str">
        <f t="shared" si="2"/>
        <v>https://www.reddit.com/r/RMTK/comments/em9c3k/w0061_rijkswet_afkondigings_en/</v>
      </c>
      <c r="U22" s="2168" t="str">
        <f t="shared" si="2"/>
        <v>https://www.reddit.com/r/RMTK/comments/emrfn7/m0136_motie_tot_terugtrekking_van_amerikaanse/</v>
      </c>
      <c r="V22" s="2168" t="str">
        <f t="shared" si="2"/>
        <v>https://www.reddit.com/r/RMTK/comments/eo3tv9/w0062_wet_tot_het_samenvoegen_van_de_rustwetten/</v>
      </c>
      <c r="W22" s="2168" t="str">
        <f t="shared" si="2"/>
        <v>https://www.reddit.com/r/RMTK/comments/eokzf9/w0063_wet_tot_oprichting_van_het/</v>
      </c>
      <c r="X22" s="2168" t="str">
        <f t="shared" si="2"/>
        <v>https://www.reddit.com/r/RMTK/comments/epax7w/w0057_wetsvoorstel_tot_oprichting_van_het_erica/</v>
      </c>
      <c r="Y22" s="2168" t="str">
        <f t="shared" si="2"/>
        <v>https://www.reddit.com/r/RMTK/comments/ep21sj/m0137_motie_tot_het_goedkoper_maken_van_de/</v>
      </c>
      <c r="Z22" s="2168" t="str">
        <f t="shared" si="2"/>
        <v>https://www.reddit.com/r/RMTK/comments/epj1fz/m0138_motie_tot_het_steunen_van_iraanse/</v>
      </c>
      <c r="AA22" s="2168" t="str">
        <f t="shared" si="2"/>
        <v>https://www.reddit.com/r/RMTK/comments/epj1g9/m0139_motie_tot_verhoging_maximumsnelheid/</v>
      </c>
      <c r="AB22" s="2237" t="str">
        <f t="shared" si="2"/>
        <v>https://www.reddit.com/r/RMTK/comments/ercxen/m0140_motie_tot_het_behouden_van_het_friese/</v>
      </c>
      <c r="AC22" s="2168" t="str">
        <f t="shared" si="2"/>
        <v>https://www.reddit.com/r/RMTK/comments/esblyw/m0141_motie_tot_verbreding_staatsieportret_van/</v>
      </c>
      <c r="AD22" s="2237" t="str">
        <f t="shared" si="2"/>
        <v>https://www.reddit.com/r/RMTK/comments/esssij/w0064_wet_gelijke_behandeling_op_grond_van/</v>
      </c>
      <c r="AE22" s="2168" t="str">
        <f t="shared" si="2"/>
        <v>https://www.reddit.com/r/RMTK/comments/ev5bje/w0066_wijziging_van_de_kernenergiewet_ter/</v>
      </c>
      <c r="AF22" s="2168" t="str">
        <f t="shared" si="2"/>
        <v>https://www.reddit.com/r/RMTK/comments/evvxqc/w0065_wetswijziging_drank_en_horecawet/</v>
      </c>
      <c r="AG22" s="2168" t="str">
        <f t="shared" si="2"/>
        <v>https://www.reddit.com/r/RMTK/comments/ewnh2a/w0067_wetswijziging_afschaffing_verzwaarde/</v>
      </c>
      <c r="AH22" s="2237" t="str">
        <f t="shared" si="2"/>
        <v>https://www.reddit.com/r/RMTK/comments/ey660k/w0068_wijziging_van_de_algemene_rustwet_voor_de/</v>
      </c>
      <c r="AI22" s="2168" t="str">
        <f t="shared" si="2"/>
        <v>https://www.reddit.com/r/RMTK/comments/f1hnca/w0069i_wetsvoorstel_tot_oprichting_van_het_alan/</v>
      </c>
      <c r="AJ22" s="2168" t="str">
        <f t="shared" si="2"/>
        <v>https://www.reddit.com/r/RMTK/comments/ez8jds/m0143_motie_tot_vestiging_nederlandse_ambassade/</v>
      </c>
      <c r="AK22" s="2168" t="str">
        <f t="shared" si="2"/>
        <v>https://www.reddit.com/r/RMTK/comments/ewsp2r/m0144_motie_tot_onderzoek_naar_de_mogelijkheid/</v>
      </c>
      <c r="AL22" s="2237" t="str">
        <f t="shared" si="2"/>
        <v>https://www.reddit.com/r/RMTK/comments/f1zkdu/m0145_motie_tot_het_oprichten_van_een_permanent/</v>
      </c>
      <c r="AM22" s="2168" t="str">
        <f t="shared" si="2"/>
        <v>https://www.reddit.com/r/RMTK/comments/ewsp33/w0069_wetsvoorstel_tot_oprichting_alan/</v>
      </c>
      <c r="AN22" s="2168" t="str">
        <f t="shared" si="2"/>
        <v>https://www.reddit.com/r/RMTK/comments/f58gig/w0070_voorstel_wet_derde_geslacht/</v>
      </c>
      <c r="AO22" s="2237" t="str">
        <f t="shared" si="2"/>
        <v>https://www.reddit.com/r/RMTK/comments/f5rhvs/w0071_wet_op_de_kansspelen_2020/</v>
      </c>
      <c r="AP22" s="2168" t="str">
        <f t="shared" si="2"/>
        <v>https://www.reddit.com/r/RMTK/comments/f99ym2/m0146_motie_tot_negatief_reisadvies_naar/</v>
      </c>
      <c r="AQ22" s="2237" t="str">
        <f t="shared" si="2"/>
        <v>https://www.reddit.com/r/RMTK/comments/f71ubr/w0072_wet_tot_inkomensafhankelijke_regeling/</v>
      </c>
      <c r="AR22" s="2168" t="str">
        <f t="shared" si="2"/>
        <v>https://www.reddit.com/r/RMTK/comments/falkwf/m0146_motie_tot_het_afschaffen_van_de_permanente/</v>
      </c>
      <c r="AS22" s="2168" t="str">
        <f t="shared" si="2"/>
        <v>https://www.reddit.com/r/RMTK/comments/fc37je/m0148_motie_tot_het_in_werking_doen_treden_van/</v>
      </c>
      <c r="AT22" s="2168" t="str">
        <f t="shared" si="2"/>
        <v>https://www.reddit.com/r/RMTK/comments/fd455m/w0072i_amendement_tot_wijziging_van_w0072_wet_tot/</v>
      </c>
      <c r="AU22" s="2168" t="str">
        <f t="shared" si="2"/>
        <v>https://www.reddit.com/r/RMTK/comments/f9swuj/w0073_wet_tot_invoering_reinheitsgebot20/</v>
      </c>
      <c r="AV22" s="2168" t="str">
        <f t="shared" si="2"/>
        <v>https://www.reddit.com/r/RMTK/comments/fd455r/w0073i_amendement_tot_wijziging_van_het/</v>
      </c>
      <c r="AW22" s="2237" t="str">
        <f t="shared" si="2"/>
        <v>https://www.reddit.com/r/RMTK/comments/fcbr2f/w0074_wet_tot_invoeren_van_een_verplichte/</v>
      </c>
      <c r="AX22" s="2238"/>
    </row>
    <row r="23" ht="18.75" customHeight="1">
      <c r="A23" s="176" t="s">
        <v>1732</v>
      </c>
      <c r="B23" s="180" t="s">
        <v>31</v>
      </c>
      <c r="C23" s="181" t="s">
        <v>32</v>
      </c>
      <c r="D23" s="252" t="s">
        <v>91</v>
      </c>
      <c r="E23" s="252" t="s">
        <v>92</v>
      </c>
      <c r="F23" s="252" t="s">
        <v>91</v>
      </c>
      <c r="G23" s="561" t="s">
        <v>91</v>
      </c>
      <c r="H23" s="252" t="s">
        <v>91</v>
      </c>
      <c r="I23" s="252" t="s">
        <v>92</v>
      </c>
      <c r="J23" s="402" t="s">
        <v>91</v>
      </c>
      <c r="K23" s="402" t="s">
        <v>91</v>
      </c>
      <c r="L23" s="402" t="s">
        <v>91</v>
      </c>
      <c r="M23" s="252" t="s">
        <v>91</v>
      </c>
      <c r="N23" s="402" t="s">
        <v>91</v>
      </c>
      <c r="O23" s="252" t="s">
        <v>91</v>
      </c>
      <c r="P23" s="2039" t="s">
        <v>91</v>
      </c>
      <c r="Q23" s="2216" t="s">
        <v>91</v>
      </c>
      <c r="R23" s="2217" t="s">
        <v>91</v>
      </c>
      <c r="S23" s="2216" t="s">
        <v>91</v>
      </c>
      <c r="T23" s="252" t="s">
        <v>91</v>
      </c>
      <c r="U23" s="252" t="s">
        <v>91</v>
      </c>
      <c r="V23" s="252" t="s">
        <v>92</v>
      </c>
      <c r="W23" s="252" t="s">
        <v>92</v>
      </c>
      <c r="X23" s="402" t="s">
        <v>91</v>
      </c>
      <c r="Y23" s="252" t="s">
        <v>91</v>
      </c>
      <c r="Z23" s="252" t="s">
        <v>92</v>
      </c>
      <c r="AA23" s="252" t="s">
        <v>92</v>
      </c>
      <c r="AB23" s="402" t="s">
        <v>91</v>
      </c>
      <c r="AC23" s="2215" t="s">
        <v>92</v>
      </c>
      <c r="AD23" s="2216" t="s">
        <v>91</v>
      </c>
      <c r="AE23" s="2217" t="s">
        <v>91</v>
      </c>
      <c r="AF23" s="2064" t="s">
        <v>92</v>
      </c>
      <c r="AG23" s="2039" t="s">
        <v>91</v>
      </c>
      <c r="AH23" s="164" t="s">
        <v>91</v>
      </c>
      <c r="AI23" s="252" t="s">
        <v>91</v>
      </c>
      <c r="AJ23" s="252" t="s">
        <v>91</v>
      </c>
      <c r="AK23" s="252" t="s">
        <v>91</v>
      </c>
      <c r="AL23" s="402" t="s">
        <v>91</v>
      </c>
      <c r="AM23" s="2215" t="s">
        <v>92</v>
      </c>
      <c r="AN23" s="2039" t="s">
        <v>91</v>
      </c>
      <c r="AO23" s="2239" t="s">
        <v>92</v>
      </c>
      <c r="AP23" s="252" t="s">
        <v>91</v>
      </c>
      <c r="AQ23" s="402" t="s">
        <v>91</v>
      </c>
      <c r="AR23" s="252" t="s">
        <v>91</v>
      </c>
      <c r="AS23" s="252" t="s">
        <v>117</v>
      </c>
      <c r="AT23" s="252" t="s">
        <v>91</v>
      </c>
      <c r="AU23" s="252" t="s">
        <v>91</v>
      </c>
      <c r="AV23" s="252" t="s">
        <v>91</v>
      </c>
      <c r="AW23" s="402" t="s">
        <v>91</v>
      </c>
      <c r="AX23" s="252"/>
    </row>
    <row r="24" ht="18.75" customHeight="1">
      <c r="A24" s="158"/>
      <c r="B24" s="135"/>
      <c r="C24" s="182" t="s">
        <v>111</v>
      </c>
      <c r="D24" s="252" t="s">
        <v>91</v>
      </c>
      <c r="E24" s="252" t="s">
        <v>92</v>
      </c>
      <c r="F24" s="252" t="s">
        <v>91</v>
      </c>
      <c r="G24" s="561" t="s">
        <v>91</v>
      </c>
      <c r="H24" s="252" t="s">
        <v>91</v>
      </c>
      <c r="I24" s="252" t="s">
        <v>92</v>
      </c>
      <c r="J24" s="402" t="s">
        <v>91</v>
      </c>
      <c r="K24" s="402" t="s">
        <v>91</v>
      </c>
      <c r="L24" s="402" t="s">
        <v>92</v>
      </c>
      <c r="M24" s="252" t="s">
        <v>91</v>
      </c>
      <c r="N24" s="402" t="s">
        <v>91</v>
      </c>
      <c r="O24" s="252" t="s">
        <v>91</v>
      </c>
      <c r="P24" s="252" t="s">
        <v>91</v>
      </c>
      <c r="Q24" s="402" t="s">
        <v>91</v>
      </c>
      <c r="R24" s="252" t="s">
        <v>91</v>
      </c>
      <c r="S24" s="402" t="s">
        <v>91</v>
      </c>
      <c r="T24" s="252" t="s">
        <v>91</v>
      </c>
      <c r="U24" s="252" t="s">
        <v>91</v>
      </c>
      <c r="V24" s="252" t="s">
        <v>92</v>
      </c>
      <c r="W24" s="252" t="s">
        <v>92</v>
      </c>
      <c r="X24" s="402" t="s">
        <v>91</v>
      </c>
      <c r="Y24" s="252" t="s">
        <v>91</v>
      </c>
      <c r="Z24" s="252" t="s">
        <v>92</v>
      </c>
      <c r="AA24" s="252" t="s">
        <v>92</v>
      </c>
      <c r="AB24" s="402" t="s">
        <v>91</v>
      </c>
      <c r="AC24" s="2215" t="s">
        <v>92</v>
      </c>
      <c r="AD24" s="2216" t="s">
        <v>91</v>
      </c>
      <c r="AE24" s="252" t="s">
        <v>91</v>
      </c>
      <c r="AF24" s="252" t="s">
        <v>92</v>
      </c>
      <c r="AG24" s="252" t="s">
        <v>91</v>
      </c>
      <c r="AH24" s="2216" t="s">
        <v>91</v>
      </c>
      <c r="AI24" s="252" t="s">
        <v>91</v>
      </c>
      <c r="AJ24" s="252" t="s">
        <v>91</v>
      </c>
      <c r="AK24" s="252" t="s">
        <v>91</v>
      </c>
      <c r="AL24" s="402" t="s">
        <v>91</v>
      </c>
      <c r="AM24" s="252" t="s">
        <v>92</v>
      </c>
      <c r="AN24" s="252" t="s">
        <v>91</v>
      </c>
      <c r="AO24" s="402" t="s">
        <v>92</v>
      </c>
      <c r="AP24" s="252" t="s">
        <v>91</v>
      </c>
      <c r="AQ24" s="402" t="s">
        <v>91</v>
      </c>
      <c r="AR24" s="252" t="s">
        <v>91</v>
      </c>
      <c r="AS24" s="252" t="s">
        <v>117</v>
      </c>
      <c r="AT24" s="252" t="s">
        <v>91</v>
      </c>
      <c r="AU24" s="252" t="s">
        <v>91</v>
      </c>
      <c r="AV24" s="252" t="s">
        <v>91</v>
      </c>
      <c r="AW24" s="402" t="s">
        <v>91</v>
      </c>
      <c r="AX24" s="252"/>
    </row>
    <row r="25" ht="18.75" customHeight="1">
      <c r="A25" s="158"/>
      <c r="B25" s="135"/>
      <c r="C25" s="182" t="s">
        <v>1343</v>
      </c>
      <c r="D25" s="252" t="s">
        <v>91</v>
      </c>
      <c r="E25" s="252" t="s">
        <v>92</v>
      </c>
      <c r="F25" s="252" t="s">
        <v>91</v>
      </c>
      <c r="G25" s="561" t="s">
        <v>91</v>
      </c>
      <c r="H25" s="252" t="s">
        <v>91</v>
      </c>
      <c r="I25" s="252" t="s">
        <v>92</v>
      </c>
      <c r="J25" s="402" t="s">
        <v>91</v>
      </c>
      <c r="K25" s="402" t="s">
        <v>91</v>
      </c>
      <c r="L25" s="402" t="s">
        <v>91</v>
      </c>
      <c r="M25" s="252" t="s">
        <v>93</v>
      </c>
      <c r="N25" s="402" t="s">
        <v>93</v>
      </c>
      <c r="O25" s="252" t="s">
        <v>91</v>
      </c>
      <c r="P25" s="252" t="s">
        <v>91</v>
      </c>
      <c r="Q25" s="402" t="s">
        <v>91</v>
      </c>
      <c r="R25" s="252" t="s">
        <v>91</v>
      </c>
      <c r="S25" s="402" t="s">
        <v>91</v>
      </c>
      <c r="T25" s="252" t="s">
        <v>91</v>
      </c>
      <c r="U25" s="252" t="s">
        <v>91</v>
      </c>
      <c r="V25" s="252" t="s">
        <v>92</v>
      </c>
      <c r="W25" s="252" t="s">
        <v>92</v>
      </c>
      <c r="X25" s="402" t="s">
        <v>91</v>
      </c>
      <c r="Y25" s="252" t="s">
        <v>91</v>
      </c>
      <c r="Z25" s="252" t="s">
        <v>92</v>
      </c>
      <c r="AA25" s="252" t="s">
        <v>92</v>
      </c>
      <c r="AB25" s="402" t="s">
        <v>91</v>
      </c>
      <c r="AC25" s="2036" t="s">
        <v>93</v>
      </c>
      <c r="AD25" s="2218" t="s">
        <v>93</v>
      </c>
      <c r="AE25" s="252" t="s">
        <v>91</v>
      </c>
      <c r="AF25" s="252" t="s">
        <v>92</v>
      </c>
      <c r="AG25" s="252" t="s">
        <v>91</v>
      </c>
      <c r="AH25" s="2216" t="s">
        <v>91</v>
      </c>
      <c r="AI25" s="252" t="s">
        <v>91</v>
      </c>
      <c r="AJ25" s="252" t="s">
        <v>91</v>
      </c>
      <c r="AK25" s="252" t="s">
        <v>91</v>
      </c>
      <c r="AL25" s="402" t="s">
        <v>91</v>
      </c>
      <c r="AM25" s="252" t="s">
        <v>92</v>
      </c>
      <c r="AN25" s="252" t="s">
        <v>91</v>
      </c>
      <c r="AO25" s="402" t="s">
        <v>92</v>
      </c>
      <c r="AP25" s="252" t="s">
        <v>91</v>
      </c>
      <c r="AQ25" s="402" t="s">
        <v>91</v>
      </c>
      <c r="AR25" s="252" t="s">
        <v>91</v>
      </c>
      <c r="AS25" s="252" t="s">
        <v>117</v>
      </c>
      <c r="AT25" s="252" t="s">
        <v>91</v>
      </c>
      <c r="AU25" s="252" t="s">
        <v>91</v>
      </c>
      <c r="AV25" s="252" t="s">
        <v>91</v>
      </c>
      <c r="AW25" s="402" t="s">
        <v>91</v>
      </c>
      <c r="AX25" s="252"/>
    </row>
    <row r="26" ht="18.75" customHeight="1">
      <c r="A26" s="158"/>
      <c r="B26" s="135"/>
      <c r="C26" s="182" t="s">
        <v>112</v>
      </c>
      <c r="D26" s="252" t="s">
        <v>91</v>
      </c>
      <c r="E26" s="252" t="s">
        <v>92</v>
      </c>
      <c r="F26" s="252" t="s">
        <v>91</v>
      </c>
      <c r="G26" s="561" t="s">
        <v>91</v>
      </c>
      <c r="H26" s="252" t="s">
        <v>91</v>
      </c>
      <c r="I26" s="252" t="s">
        <v>92</v>
      </c>
      <c r="J26" s="402" t="s">
        <v>91</v>
      </c>
      <c r="K26" s="402" t="s">
        <v>91</v>
      </c>
      <c r="L26" s="402" t="s">
        <v>91</v>
      </c>
      <c r="M26" s="252" t="s">
        <v>91</v>
      </c>
      <c r="N26" s="402" t="s">
        <v>91</v>
      </c>
      <c r="O26" s="252" t="s">
        <v>91</v>
      </c>
      <c r="P26" s="252" t="s">
        <v>91</v>
      </c>
      <c r="Q26" s="402" t="s">
        <v>91</v>
      </c>
      <c r="R26" s="252" t="s">
        <v>91</v>
      </c>
      <c r="S26" s="402" t="s">
        <v>91</v>
      </c>
      <c r="T26" s="252" t="s">
        <v>91</v>
      </c>
      <c r="U26" s="252" t="s">
        <v>91</v>
      </c>
      <c r="V26" s="252" t="s">
        <v>92</v>
      </c>
      <c r="W26" s="252" t="s">
        <v>92</v>
      </c>
      <c r="X26" s="402" t="s">
        <v>91</v>
      </c>
      <c r="Y26" s="252" t="s">
        <v>91</v>
      </c>
      <c r="Z26" s="252" t="s">
        <v>92</v>
      </c>
      <c r="AA26" s="252" t="s">
        <v>92</v>
      </c>
      <c r="AB26" s="402" t="s">
        <v>91</v>
      </c>
      <c r="AC26" s="2215" t="s">
        <v>92</v>
      </c>
      <c r="AD26" s="2216" t="s">
        <v>91</v>
      </c>
      <c r="AE26" s="252" t="s">
        <v>91</v>
      </c>
      <c r="AF26" s="252" t="s">
        <v>92</v>
      </c>
      <c r="AG26" s="252" t="s">
        <v>91</v>
      </c>
      <c r="AH26" s="2216" t="s">
        <v>91</v>
      </c>
      <c r="AI26" s="252" t="s">
        <v>91</v>
      </c>
      <c r="AJ26" s="252" t="s">
        <v>91</v>
      </c>
      <c r="AK26" s="252" t="s">
        <v>91</v>
      </c>
      <c r="AL26" s="402" t="s">
        <v>91</v>
      </c>
      <c r="AM26" s="252" t="s">
        <v>92</v>
      </c>
      <c r="AN26" s="252" t="s">
        <v>91</v>
      </c>
      <c r="AO26" s="402" t="s">
        <v>92</v>
      </c>
      <c r="AP26" s="252" t="s">
        <v>91</v>
      </c>
      <c r="AQ26" s="402" t="s">
        <v>91</v>
      </c>
      <c r="AR26" s="252" t="s">
        <v>91</v>
      </c>
      <c r="AS26" s="252" t="s">
        <v>117</v>
      </c>
      <c r="AT26" s="252" t="s">
        <v>91</v>
      </c>
      <c r="AU26" s="252" t="s">
        <v>91</v>
      </c>
      <c r="AV26" s="252" t="s">
        <v>91</v>
      </c>
      <c r="AW26" s="402" t="s">
        <v>91</v>
      </c>
      <c r="AX26" s="252"/>
    </row>
    <row r="27" ht="18.75" customHeight="1">
      <c r="A27" s="158"/>
      <c r="B27" s="135"/>
      <c r="C27" s="182" t="s">
        <v>1347</v>
      </c>
      <c r="D27" s="252" t="s">
        <v>91</v>
      </c>
      <c r="E27" s="252" t="s">
        <v>92</v>
      </c>
      <c r="F27" s="252" t="s">
        <v>91</v>
      </c>
      <c r="G27" s="561" t="s">
        <v>91</v>
      </c>
      <c r="H27" s="252" t="s">
        <v>91</v>
      </c>
      <c r="I27" s="252" t="s">
        <v>92</v>
      </c>
      <c r="J27" s="402" t="s">
        <v>91</v>
      </c>
      <c r="K27" s="402" t="s">
        <v>91</v>
      </c>
      <c r="L27" s="2226" t="s">
        <v>93</v>
      </c>
      <c r="M27" s="252" t="s">
        <v>91</v>
      </c>
      <c r="N27" s="402" t="s">
        <v>91</v>
      </c>
      <c r="O27" s="252" t="s">
        <v>91</v>
      </c>
      <c r="P27" s="252" t="s">
        <v>91</v>
      </c>
      <c r="Q27" s="402" t="s">
        <v>91</v>
      </c>
      <c r="R27" s="252" t="s">
        <v>91</v>
      </c>
      <c r="S27" s="402" t="s">
        <v>91</v>
      </c>
      <c r="T27" s="252" t="s">
        <v>91</v>
      </c>
      <c r="U27" s="252" t="s">
        <v>91</v>
      </c>
      <c r="V27" s="252" t="s">
        <v>92</v>
      </c>
      <c r="W27" s="252" t="s">
        <v>92</v>
      </c>
      <c r="X27" s="402" t="s">
        <v>91</v>
      </c>
      <c r="Y27" s="252" t="s">
        <v>91</v>
      </c>
      <c r="Z27" s="252" t="s">
        <v>92</v>
      </c>
      <c r="AA27" s="252" t="s">
        <v>92</v>
      </c>
      <c r="AB27" s="402" t="s">
        <v>91</v>
      </c>
      <c r="AC27" s="252" t="s">
        <v>92</v>
      </c>
      <c r="AD27" s="402" t="s">
        <v>91</v>
      </c>
      <c r="AE27" s="252" t="s">
        <v>91</v>
      </c>
      <c r="AF27" s="252" t="s">
        <v>92</v>
      </c>
      <c r="AG27" s="252" t="s">
        <v>91</v>
      </c>
      <c r="AH27" s="2216" t="s">
        <v>91</v>
      </c>
      <c r="AI27" s="252" t="s">
        <v>91</v>
      </c>
      <c r="AJ27" s="252" t="s">
        <v>91</v>
      </c>
      <c r="AK27" s="252" t="s">
        <v>91</v>
      </c>
      <c r="AL27" s="402" t="s">
        <v>91</v>
      </c>
      <c r="AM27" s="252" t="s">
        <v>92</v>
      </c>
      <c r="AN27" s="252" t="s">
        <v>91</v>
      </c>
      <c r="AO27" s="402" t="s">
        <v>92</v>
      </c>
      <c r="AP27" s="252" t="s">
        <v>91</v>
      </c>
      <c r="AQ27" s="402" t="s">
        <v>91</v>
      </c>
      <c r="AR27" s="252" t="s">
        <v>91</v>
      </c>
      <c r="AS27" s="252" t="s">
        <v>117</v>
      </c>
      <c r="AT27" s="252" t="s">
        <v>91</v>
      </c>
      <c r="AU27" s="252" t="s">
        <v>91</v>
      </c>
      <c r="AV27" s="252" t="s">
        <v>91</v>
      </c>
      <c r="AW27" s="402" t="s">
        <v>91</v>
      </c>
      <c r="AX27" s="252"/>
    </row>
    <row r="28" ht="18.75" customHeight="1">
      <c r="A28" s="158"/>
      <c r="B28" s="2240" t="s">
        <v>255</v>
      </c>
      <c r="C28" s="2241" t="s">
        <v>201</v>
      </c>
      <c r="D28" s="252" t="s">
        <v>91</v>
      </c>
      <c r="E28" s="252" t="s">
        <v>92</v>
      </c>
      <c r="F28" s="252" t="s">
        <v>91</v>
      </c>
      <c r="G28" s="561" t="s">
        <v>93</v>
      </c>
      <c r="H28" s="252" t="s">
        <v>93</v>
      </c>
      <c r="I28" s="252" t="s">
        <v>93</v>
      </c>
      <c r="J28" s="402" t="s">
        <v>93</v>
      </c>
      <c r="K28" s="402" t="s">
        <v>93</v>
      </c>
      <c r="L28" s="402" t="s">
        <v>92</v>
      </c>
      <c r="M28" s="252" t="s">
        <v>93</v>
      </c>
      <c r="N28" s="402" t="s">
        <v>93</v>
      </c>
      <c r="O28" s="252" t="s">
        <v>92</v>
      </c>
      <c r="P28" s="252" t="s">
        <v>91</v>
      </c>
      <c r="Q28" s="402" t="s">
        <v>91</v>
      </c>
      <c r="R28" s="252" t="s">
        <v>93</v>
      </c>
      <c r="S28" s="402" t="s">
        <v>93</v>
      </c>
      <c r="T28" s="252" t="s">
        <v>93</v>
      </c>
      <c r="U28" s="252" t="s">
        <v>93</v>
      </c>
      <c r="V28" s="252" t="s">
        <v>93</v>
      </c>
      <c r="W28" s="252" t="s">
        <v>93</v>
      </c>
      <c r="X28" s="402" t="s">
        <v>93</v>
      </c>
      <c r="Y28" s="252" t="s">
        <v>92</v>
      </c>
      <c r="Z28" s="252" t="s">
        <v>91</v>
      </c>
      <c r="AA28" s="252" t="s">
        <v>91</v>
      </c>
      <c r="AB28" s="402" t="s">
        <v>91</v>
      </c>
      <c r="AC28" s="252" t="s">
        <v>92</v>
      </c>
      <c r="AD28" s="402" t="s">
        <v>91</v>
      </c>
      <c r="AE28" s="2036" t="s">
        <v>93</v>
      </c>
      <c r="AF28" s="2036" t="s">
        <v>93</v>
      </c>
      <c r="AG28" s="2036" t="s">
        <v>93</v>
      </c>
      <c r="AH28" s="2218" t="s">
        <v>93</v>
      </c>
      <c r="AI28" s="252" t="s">
        <v>93</v>
      </c>
      <c r="AJ28" s="252" t="s">
        <v>93</v>
      </c>
      <c r="AK28" s="252" t="s">
        <v>93</v>
      </c>
      <c r="AL28" s="402" t="s">
        <v>93</v>
      </c>
      <c r="AM28" s="252" t="s">
        <v>91</v>
      </c>
      <c r="AN28" s="252" t="s">
        <v>117</v>
      </c>
      <c r="AO28" s="402" t="s">
        <v>91</v>
      </c>
      <c r="AP28" s="2225" t="s">
        <v>93</v>
      </c>
      <c r="AQ28" s="2218" t="s">
        <v>93</v>
      </c>
      <c r="AR28" s="2036" t="s">
        <v>93</v>
      </c>
      <c r="AS28" s="2036" t="s">
        <v>93</v>
      </c>
      <c r="AT28" s="2060" t="s">
        <v>93</v>
      </c>
      <c r="AU28" s="2036" t="s">
        <v>93</v>
      </c>
      <c r="AV28" s="2036" t="s">
        <v>93</v>
      </c>
      <c r="AW28" s="2218" t="s">
        <v>93</v>
      </c>
      <c r="AX28" s="2036"/>
    </row>
    <row r="29" ht="18.75" customHeight="1">
      <c r="A29" s="158"/>
      <c r="B29" s="135"/>
      <c r="C29" s="2242" t="s">
        <v>48</v>
      </c>
      <c r="D29" s="252" t="s">
        <v>93</v>
      </c>
      <c r="E29" s="252" t="s">
        <v>93</v>
      </c>
      <c r="F29" s="252" t="s">
        <v>93</v>
      </c>
      <c r="G29" s="561" t="s">
        <v>92</v>
      </c>
      <c r="H29" s="252" t="s">
        <v>91</v>
      </c>
      <c r="I29" s="252" t="s">
        <v>91</v>
      </c>
      <c r="J29" s="402" t="s">
        <v>91</v>
      </c>
      <c r="K29" s="402" t="s">
        <v>93</v>
      </c>
      <c r="L29" s="402" t="s">
        <v>91</v>
      </c>
      <c r="M29" s="252" t="s">
        <v>93</v>
      </c>
      <c r="N29" s="402" t="s">
        <v>93</v>
      </c>
      <c r="O29" s="252" t="s">
        <v>92</v>
      </c>
      <c r="P29" s="2039" t="s">
        <v>91</v>
      </c>
      <c r="Q29" s="2216" t="s">
        <v>91</v>
      </c>
      <c r="R29" s="252" t="s">
        <v>92</v>
      </c>
      <c r="S29" s="402" t="s">
        <v>92</v>
      </c>
      <c r="T29" s="252" t="s">
        <v>92</v>
      </c>
      <c r="U29" s="252" t="s">
        <v>92</v>
      </c>
      <c r="V29" s="252" t="s">
        <v>91</v>
      </c>
      <c r="W29" s="252" t="s">
        <v>91</v>
      </c>
      <c r="X29" s="402" t="s">
        <v>91</v>
      </c>
      <c r="Y29" s="252" t="s">
        <v>92</v>
      </c>
      <c r="Z29" s="252" t="s">
        <v>91</v>
      </c>
      <c r="AA29" s="252" t="s">
        <v>91</v>
      </c>
      <c r="AB29" s="402" t="s">
        <v>92</v>
      </c>
      <c r="AC29" s="2215" t="s">
        <v>92</v>
      </c>
      <c r="AD29" s="2216" t="s">
        <v>91</v>
      </c>
      <c r="AE29" s="2036" t="s">
        <v>93</v>
      </c>
      <c r="AF29" s="2036" t="s">
        <v>93</v>
      </c>
      <c r="AG29" s="2036" t="s">
        <v>93</v>
      </c>
      <c r="AH29" s="2218" t="s">
        <v>93</v>
      </c>
      <c r="AI29" s="252" t="s">
        <v>91</v>
      </c>
      <c r="AJ29" s="252" t="s">
        <v>92</v>
      </c>
      <c r="AK29" s="252" t="s">
        <v>91</v>
      </c>
      <c r="AL29" s="402" t="s">
        <v>92</v>
      </c>
      <c r="AM29" s="252" t="s">
        <v>91</v>
      </c>
      <c r="AN29" s="252" t="s">
        <v>92</v>
      </c>
      <c r="AO29" s="402" t="s">
        <v>91</v>
      </c>
      <c r="AP29" s="252" t="s">
        <v>92</v>
      </c>
      <c r="AQ29" s="402" t="s">
        <v>92</v>
      </c>
      <c r="AR29" s="2036" t="s">
        <v>93</v>
      </c>
      <c r="AS29" s="2036" t="s">
        <v>93</v>
      </c>
      <c r="AT29" s="2060" t="s">
        <v>93</v>
      </c>
      <c r="AU29" s="2036" t="s">
        <v>93</v>
      </c>
      <c r="AV29" s="2036" t="s">
        <v>93</v>
      </c>
      <c r="AW29" s="2218" t="s">
        <v>93</v>
      </c>
      <c r="AX29" s="2036"/>
    </row>
    <row r="30" ht="18.75" customHeight="1">
      <c r="A30" s="158"/>
      <c r="B30" s="2243" t="s">
        <v>214</v>
      </c>
      <c r="C30" s="2244" t="s">
        <v>1333</v>
      </c>
      <c r="D30" s="252" t="s">
        <v>93</v>
      </c>
      <c r="E30" s="252" t="s">
        <v>93</v>
      </c>
      <c r="F30" s="252" t="s">
        <v>93</v>
      </c>
      <c r="G30" s="561" t="s">
        <v>91</v>
      </c>
      <c r="H30" s="252" t="s">
        <v>91</v>
      </c>
      <c r="I30" s="252" t="s">
        <v>91</v>
      </c>
      <c r="J30" s="402" t="s">
        <v>91</v>
      </c>
      <c r="K30" s="402" t="s">
        <v>92</v>
      </c>
      <c r="L30" s="2226" t="s">
        <v>93</v>
      </c>
      <c r="M30" s="252" t="s">
        <v>93</v>
      </c>
      <c r="N30" s="402" t="s">
        <v>93</v>
      </c>
      <c r="O30" s="252" t="s">
        <v>93</v>
      </c>
      <c r="P30" s="252" t="s">
        <v>91</v>
      </c>
      <c r="Q30" s="402" t="s">
        <v>91</v>
      </c>
      <c r="R30" s="252" t="s">
        <v>91</v>
      </c>
      <c r="S30" s="402" t="s">
        <v>91</v>
      </c>
      <c r="T30" s="252" t="s">
        <v>93</v>
      </c>
      <c r="U30" s="252" t="s">
        <v>93</v>
      </c>
      <c r="V30" s="252" t="s">
        <v>93</v>
      </c>
      <c r="W30" s="252" t="s">
        <v>93</v>
      </c>
      <c r="X30" s="402" t="s">
        <v>93</v>
      </c>
      <c r="Y30" s="2051" t="s">
        <v>118</v>
      </c>
      <c r="Z30" s="2051" t="s">
        <v>118</v>
      </c>
      <c r="AA30" s="2051" t="s">
        <v>118</v>
      </c>
      <c r="AB30" s="2245" t="s">
        <v>118</v>
      </c>
      <c r="AC30" s="2223" t="s">
        <v>118</v>
      </c>
      <c r="AD30" s="2246" t="s">
        <v>118</v>
      </c>
      <c r="AE30" s="2223" t="s">
        <v>118</v>
      </c>
      <c r="AF30" s="2223" t="s">
        <v>118</v>
      </c>
      <c r="AG30" s="2223" t="s">
        <v>118</v>
      </c>
      <c r="AH30" s="2246" t="s">
        <v>118</v>
      </c>
      <c r="AI30" s="2051" t="s">
        <v>118</v>
      </c>
      <c r="AJ30" s="2051" t="s">
        <v>118</v>
      </c>
      <c r="AK30" s="2051" t="s">
        <v>118</v>
      </c>
      <c r="AL30" s="2245" t="s">
        <v>118</v>
      </c>
      <c r="AM30" s="2247" t="s">
        <v>118</v>
      </c>
      <c r="AN30" s="2223" t="s">
        <v>118</v>
      </c>
      <c r="AO30" s="2246" t="s">
        <v>118</v>
      </c>
      <c r="AP30" s="2247" t="s">
        <v>118</v>
      </c>
      <c r="AQ30" s="2246" t="s">
        <v>118</v>
      </c>
      <c r="AR30" s="2223" t="s">
        <v>118</v>
      </c>
      <c r="AS30" s="2223" t="s">
        <v>118</v>
      </c>
      <c r="AT30" s="2223" t="s">
        <v>118</v>
      </c>
      <c r="AU30" s="2223" t="s">
        <v>118</v>
      </c>
      <c r="AV30" s="2223" t="s">
        <v>118</v>
      </c>
      <c r="AW30" s="2246" t="s">
        <v>118</v>
      </c>
      <c r="AX30" s="2223"/>
    </row>
    <row r="31" ht="18.75" customHeight="1">
      <c r="A31" s="158"/>
      <c r="B31" s="813"/>
      <c r="C31" s="2248" t="s">
        <v>796</v>
      </c>
      <c r="D31" s="2051" t="s">
        <v>118</v>
      </c>
      <c r="E31" s="2051" t="s">
        <v>118</v>
      </c>
      <c r="F31" s="2051" t="s">
        <v>118</v>
      </c>
      <c r="G31" s="2051" t="s">
        <v>118</v>
      </c>
      <c r="H31" s="2051" t="s">
        <v>118</v>
      </c>
      <c r="I31" s="2051" t="s">
        <v>118</v>
      </c>
      <c r="J31" s="2051" t="s">
        <v>118</v>
      </c>
      <c r="K31" s="2051" t="s">
        <v>118</v>
      </c>
      <c r="L31" s="2051" t="s">
        <v>118</v>
      </c>
      <c r="M31" s="2051" t="s">
        <v>118</v>
      </c>
      <c r="N31" s="2051" t="s">
        <v>118</v>
      </c>
      <c r="O31" s="2051" t="s">
        <v>118</v>
      </c>
      <c r="P31" s="2051" t="s">
        <v>118</v>
      </c>
      <c r="Q31" s="2051" t="s">
        <v>118</v>
      </c>
      <c r="R31" s="2051" t="s">
        <v>118</v>
      </c>
      <c r="S31" s="2051" t="s">
        <v>118</v>
      </c>
      <c r="T31" s="2051" t="s">
        <v>118</v>
      </c>
      <c r="U31" s="2051" t="s">
        <v>118</v>
      </c>
      <c r="V31" s="2051" t="s">
        <v>118</v>
      </c>
      <c r="W31" s="2051" t="s">
        <v>118</v>
      </c>
      <c r="X31" s="2051" t="s">
        <v>118</v>
      </c>
      <c r="Y31" s="252" t="s">
        <v>93</v>
      </c>
      <c r="Z31" s="252" t="s">
        <v>93</v>
      </c>
      <c r="AA31" s="252" t="s">
        <v>93</v>
      </c>
      <c r="AB31" s="402" t="s">
        <v>93</v>
      </c>
      <c r="AC31" s="252" t="s">
        <v>92</v>
      </c>
      <c r="AD31" s="402" t="s">
        <v>91</v>
      </c>
      <c r="AE31" s="2036" t="s">
        <v>93</v>
      </c>
      <c r="AF31" s="2036" t="s">
        <v>93</v>
      </c>
      <c r="AG31" s="2036" t="s">
        <v>93</v>
      </c>
      <c r="AH31" s="2218" t="s">
        <v>93</v>
      </c>
      <c r="AI31" s="252" t="s">
        <v>92</v>
      </c>
      <c r="AJ31" s="252" t="s">
        <v>91</v>
      </c>
      <c r="AK31" s="252" t="s">
        <v>91</v>
      </c>
      <c r="AL31" s="402" t="s">
        <v>91</v>
      </c>
      <c r="AM31" s="252" t="s">
        <v>91</v>
      </c>
      <c r="AN31" s="252" t="s">
        <v>91</v>
      </c>
      <c r="AO31" s="402" t="s">
        <v>92</v>
      </c>
      <c r="AP31" s="252" t="s">
        <v>91</v>
      </c>
      <c r="AQ31" s="402" t="s">
        <v>91</v>
      </c>
      <c r="AR31" s="252" t="s">
        <v>92</v>
      </c>
      <c r="AS31" s="252" t="s">
        <v>91</v>
      </c>
      <c r="AT31" s="252" t="s">
        <v>92</v>
      </c>
      <c r="AU31" s="252" t="s">
        <v>91</v>
      </c>
      <c r="AV31" s="252" t="s">
        <v>91</v>
      </c>
      <c r="AW31" s="402" t="s">
        <v>91</v>
      </c>
      <c r="AX31" s="252"/>
    </row>
    <row r="32" ht="18.75" customHeight="1">
      <c r="A32" s="158"/>
      <c r="B32" s="813"/>
      <c r="C32" s="2249" t="s">
        <v>97</v>
      </c>
      <c r="D32" s="252" t="s">
        <v>91</v>
      </c>
      <c r="E32" s="252" t="s">
        <v>92</v>
      </c>
      <c r="F32" s="252" t="s">
        <v>91</v>
      </c>
      <c r="G32" s="561" t="s">
        <v>91</v>
      </c>
      <c r="H32" s="252" t="s">
        <v>91</v>
      </c>
      <c r="I32" s="252" t="s">
        <v>91</v>
      </c>
      <c r="J32" s="402" t="s">
        <v>91</v>
      </c>
      <c r="K32" s="402" t="s">
        <v>92</v>
      </c>
      <c r="L32" s="402" t="s">
        <v>92</v>
      </c>
      <c r="M32" s="252" t="s">
        <v>93</v>
      </c>
      <c r="N32" s="402" t="s">
        <v>93</v>
      </c>
      <c r="O32" s="252" t="s">
        <v>93</v>
      </c>
      <c r="P32" s="252" t="s">
        <v>91</v>
      </c>
      <c r="Q32" s="402" t="s">
        <v>91</v>
      </c>
      <c r="R32" s="252" t="s">
        <v>93</v>
      </c>
      <c r="S32" s="402" t="s">
        <v>93</v>
      </c>
      <c r="T32" s="252" t="s">
        <v>91</v>
      </c>
      <c r="U32" s="252" t="s">
        <v>91</v>
      </c>
      <c r="V32" s="252" t="s">
        <v>91</v>
      </c>
      <c r="W32" s="252" t="s">
        <v>91</v>
      </c>
      <c r="X32" s="402" t="s">
        <v>91</v>
      </c>
      <c r="Y32" s="252" t="s">
        <v>91</v>
      </c>
      <c r="Z32" s="252" t="s">
        <v>91</v>
      </c>
      <c r="AA32" s="252" t="s">
        <v>92</v>
      </c>
      <c r="AB32" s="402" t="s">
        <v>117</v>
      </c>
      <c r="AC32" s="2215" t="s">
        <v>92</v>
      </c>
      <c r="AD32" s="2216" t="s">
        <v>91</v>
      </c>
      <c r="AE32" s="2217" t="s">
        <v>91</v>
      </c>
      <c r="AF32" s="2064" t="s">
        <v>92</v>
      </c>
      <c r="AG32" s="2064" t="s">
        <v>92</v>
      </c>
      <c r="AH32" s="164" t="s">
        <v>91</v>
      </c>
      <c r="AI32" s="252" t="s">
        <v>92</v>
      </c>
      <c r="AJ32" s="252" t="s">
        <v>91</v>
      </c>
      <c r="AK32" s="252" t="s">
        <v>91</v>
      </c>
      <c r="AL32" s="402" t="s">
        <v>91</v>
      </c>
      <c r="AM32" s="252" t="s">
        <v>91</v>
      </c>
      <c r="AN32" s="252" t="s">
        <v>91</v>
      </c>
      <c r="AO32" s="402" t="s">
        <v>92</v>
      </c>
      <c r="AP32" s="252" t="s">
        <v>91</v>
      </c>
      <c r="AQ32" s="402" t="s">
        <v>91</v>
      </c>
      <c r="AR32" s="252" t="s">
        <v>92</v>
      </c>
      <c r="AS32" s="252" t="s">
        <v>91</v>
      </c>
      <c r="AT32" s="252" t="s">
        <v>92</v>
      </c>
      <c r="AU32" s="252" t="s">
        <v>91</v>
      </c>
      <c r="AV32" s="252" t="s">
        <v>91</v>
      </c>
      <c r="AW32" s="402" t="s">
        <v>91</v>
      </c>
      <c r="AX32" s="252"/>
    </row>
    <row r="33" ht="18.75" customHeight="1">
      <c r="A33" s="158"/>
      <c r="B33" s="968"/>
      <c r="C33" s="2249" t="s">
        <v>930</v>
      </c>
      <c r="D33" s="252" t="s">
        <v>91</v>
      </c>
      <c r="E33" s="252" t="s">
        <v>92</v>
      </c>
      <c r="F33" s="252" t="s">
        <v>91</v>
      </c>
      <c r="G33" s="561" t="s">
        <v>91</v>
      </c>
      <c r="H33" s="252" t="s">
        <v>91</v>
      </c>
      <c r="I33" s="252" t="s">
        <v>91</v>
      </c>
      <c r="J33" s="402" t="s">
        <v>91</v>
      </c>
      <c r="K33" s="402" t="s">
        <v>93</v>
      </c>
      <c r="L33" s="402" t="s">
        <v>117</v>
      </c>
      <c r="M33" s="252" t="s">
        <v>93</v>
      </c>
      <c r="N33" s="402" t="s">
        <v>93</v>
      </c>
      <c r="O33" s="252" t="s">
        <v>93</v>
      </c>
      <c r="P33" s="252" t="s">
        <v>91</v>
      </c>
      <c r="Q33" s="402" t="s">
        <v>91</v>
      </c>
      <c r="R33" s="252" t="s">
        <v>93</v>
      </c>
      <c r="S33" s="402" t="s">
        <v>93</v>
      </c>
      <c r="T33" s="252" t="s">
        <v>91</v>
      </c>
      <c r="U33" s="252" t="s">
        <v>92</v>
      </c>
      <c r="V33" s="252" t="s">
        <v>91</v>
      </c>
      <c r="W33" s="252" t="s">
        <v>91</v>
      </c>
      <c r="X33" s="402" t="s">
        <v>91</v>
      </c>
      <c r="Y33" s="252" t="s">
        <v>93</v>
      </c>
      <c r="Z33" s="252" t="s">
        <v>93</v>
      </c>
      <c r="AA33" s="252" t="s">
        <v>93</v>
      </c>
      <c r="AB33" s="402" t="s">
        <v>93</v>
      </c>
      <c r="AC33" s="2215" t="s">
        <v>92</v>
      </c>
      <c r="AD33" s="2216" t="s">
        <v>91</v>
      </c>
      <c r="AE33" s="2036" t="s">
        <v>93</v>
      </c>
      <c r="AF33" s="2036" t="s">
        <v>93</v>
      </c>
      <c r="AG33" s="2036" t="s">
        <v>93</v>
      </c>
      <c r="AH33" s="2218" t="s">
        <v>93</v>
      </c>
      <c r="AI33" s="252" t="s">
        <v>92</v>
      </c>
      <c r="AJ33" s="252" t="s">
        <v>91</v>
      </c>
      <c r="AK33" s="252" t="s">
        <v>91</v>
      </c>
      <c r="AL33" s="402" t="s">
        <v>91</v>
      </c>
      <c r="AM33" s="252" t="s">
        <v>91</v>
      </c>
      <c r="AN33" s="252" t="s">
        <v>91</v>
      </c>
      <c r="AO33" s="402" t="s">
        <v>92</v>
      </c>
      <c r="AP33" s="252" t="s">
        <v>91</v>
      </c>
      <c r="AQ33" s="402" t="s">
        <v>91</v>
      </c>
      <c r="AR33" s="2036" t="s">
        <v>93</v>
      </c>
      <c r="AS33" s="2036" t="s">
        <v>93</v>
      </c>
      <c r="AT33" s="2060" t="s">
        <v>93</v>
      </c>
      <c r="AU33" s="2036" t="s">
        <v>93</v>
      </c>
      <c r="AV33" s="2036" t="s">
        <v>93</v>
      </c>
      <c r="AW33" s="2218" t="s">
        <v>93</v>
      </c>
      <c r="AX33" s="2036"/>
    </row>
    <row r="34" ht="18.75" customHeight="1">
      <c r="A34" s="191"/>
      <c r="B34" s="183" t="s">
        <v>115</v>
      </c>
      <c r="C34" s="184" t="s">
        <v>1733</v>
      </c>
      <c r="D34" s="252" t="s">
        <v>117</v>
      </c>
      <c r="E34" s="252" t="s">
        <v>92</v>
      </c>
      <c r="F34" s="252" t="s">
        <v>117</v>
      </c>
      <c r="G34" s="561" t="s">
        <v>117</v>
      </c>
      <c r="H34" s="670" t="s">
        <v>117</v>
      </c>
      <c r="I34" s="252" t="s">
        <v>117</v>
      </c>
      <c r="J34" s="402" t="s">
        <v>117</v>
      </c>
      <c r="K34" s="402" t="s">
        <v>93</v>
      </c>
      <c r="L34" s="2226" t="s">
        <v>93</v>
      </c>
      <c r="M34" s="252" t="s">
        <v>117</v>
      </c>
      <c r="N34" s="402" t="s">
        <v>117</v>
      </c>
      <c r="O34" s="252" t="s">
        <v>117</v>
      </c>
      <c r="P34" s="252" t="s">
        <v>117</v>
      </c>
      <c r="Q34" s="402" t="s">
        <v>117</v>
      </c>
      <c r="R34" s="252" t="s">
        <v>117</v>
      </c>
      <c r="S34" s="402" t="s">
        <v>117</v>
      </c>
      <c r="T34" s="252" t="s">
        <v>117</v>
      </c>
      <c r="U34" s="252" t="s">
        <v>117</v>
      </c>
      <c r="V34" s="252" t="s">
        <v>117</v>
      </c>
      <c r="W34" s="252" t="s">
        <v>117</v>
      </c>
      <c r="X34" s="402" t="s">
        <v>117</v>
      </c>
      <c r="Y34" s="252" t="s">
        <v>117</v>
      </c>
      <c r="Z34" s="252" t="s">
        <v>117</v>
      </c>
      <c r="AA34" s="252" t="s">
        <v>117</v>
      </c>
      <c r="AB34" s="402" t="s">
        <v>91</v>
      </c>
      <c r="AC34" s="2250" t="s">
        <v>93</v>
      </c>
      <c r="AD34" s="2251" t="s">
        <v>93</v>
      </c>
      <c r="AE34" s="252" t="s">
        <v>117</v>
      </c>
      <c r="AF34" s="252" t="s">
        <v>117</v>
      </c>
      <c r="AG34" s="252" t="s">
        <v>117</v>
      </c>
      <c r="AH34" s="402" t="s">
        <v>117</v>
      </c>
      <c r="AI34" s="252" t="s">
        <v>117</v>
      </c>
      <c r="AJ34" s="252" t="s">
        <v>117</v>
      </c>
      <c r="AK34" s="252" t="s">
        <v>91</v>
      </c>
      <c r="AL34" s="402" t="s">
        <v>117</v>
      </c>
      <c r="AM34" s="252" t="s">
        <v>117</v>
      </c>
      <c r="AN34" s="252" t="s">
        <v>117</v>
      </c>
      <c r="AO34" s="402" t="s">
        <v>117</v>
      </c>
      <c r="AP34" s="252" t="s">
        <v>117</v>
      </c>
      <c r="AQ34" s="402" t="s">
        <v>117</v>
      </c>
      <c r="AR34" s="252" t="s">
        <v>117</v>
      </c>
      <c r="AS34" s="252" t="s">
        <v>117</v>
      </c>
      <c r="AT34" s="252" t="s">
        <v>117</v>
      </c>
      <c r="AU34" s="252" t="s">
        <v>117</v>
      </c>
      <c r="AV34" s="252" t="s">
        <v>117</v>
      </c>
      <c r="AW34" s="402" t="s">
        <v>117</v>
      </c>
      <c r="AX34" s="252"/>
    </row>
    <row r="35" ht="11.25" customHeight="1">
      <c r="A35" s="261"/>
      <c r="B35" s="261"/>
      <c r="C35" s="261"/>
      <c r="D35" s="2252" t="str">
        <f t="shared" ref="D35:AW35" si="3">CONCATENATE("{""status"": ", IF(GT(D36, D37), """aangenomen""", """verworpen"""), ", ""title"": """, D5, """, ""url"": """,D22  , """, ""voor"":", D36,", ""tegen"": ", D37, ", ""onthouden"":", D38, "}")</f>
        <v>{"status": "aangenomen", "title": "M0126", "url": "https://www.reddit.com/r/RMTK/comments/e1jtyu/m0126_motie_tot_opzetten_stimuleringsfonds/", "voor":18, "tegen": 0, "onthouden":1}</v>
      </c>
      <c r="E35" s="2253" t="str">
        <f t="shared" si="3"/>
        <v>{"status": "verworpen", "title": "M0127", "url": "https://www.reddit.com/r/RMTK/comments/e208vb/m0127_motie_tot_verzoek_oorlogsverklaring/", "voor":1, "tegen": 18, "onthouden":0}</v>
      </c>
      <c r="F35" s="2253" t="str">
        <f t="shared" si="3"/>
        <v>{"status": "aangenomen", "title": "M0128", "url": "https://www.reddit.com/r/RMTK/comments/e2ztqm/m0128_motie_tot_een_ruimhartiger_asielbeleid/", "voor":18, "tegen": 0, "onthouden":1}</v>
      </c>
      <c r="G35" s="2253" t="str">
        <f t="shared" si="3"/>
        <v>{"status": "aangenomen", "title": "M0129", "url": "https://www.reddit.com/r/RMTK/comments/e4zuxw/m0129_motie_omtrent_het_opruimen_van_korrels_van/", "voor":17, "tegen": 2, "onthouden":1}</v>
      </c>
      <c r="H35" s="2254" t="str">
        <f t="shared" si="3"/>
        <v>{"status": "aangenomen", "title": "M0131", "url": "https://www.reddit.com/r/RMTK/comments/e5hzkw/m0131_motie_tot_het_instellen_van_een_meldplicht/", "voor":15, "tegen": 3, "onthouden":2}</v>
      </c>
      <c r="I35" s="2253" t="str">
        <f t="shared" si="3"/>
        <v>{"status": "aangenomen", "title": "W0054", "url": "https://www.reddit.com/r/RMTK/comments/e5znmk/w0054_grondwetswijziging_ter/", "voor":12, "tegen": 6, "onthouden":2}</v>
      </c>
      <c r="J35" s="2253" t="str">
        <f t="shared" si="3"/>
        <v>{"status": "aangenomen", "title": "W0055", "url": "https://www.reddit.com/r/RMTK/comments/e6gw21/w0055_wetswijziging_tot_het_uitbreiden_van_de/", "voor":17, "tegen": 0, "onthouden":3}</v>
      </c>
      <c r="K35" s="2253" t="str">
        <f t="shared" si="3"/>
        <v>{"status": "verworpen", "title": "W0056", "url": "https://www.reddit.com/r/RMTK/comments/e8pqs7/w0056_wijziging_van_de_algemene_ouderdomswet/", "voor":7, "tegen": 10, "onthouden":0}</v>
      </c>
      <c r="L35" s="2253" t="str">
        <f t="shared" si="3"/>
        <v>{"status": "verworpen", "title": "M0132", "url": "https://www.reddit.com/r/RMTK/comments/ecd9jh/m0132_motie_van_afkeuring_tegen_de_voorzitter/", "voor":5, "tegen": 12, "onthouden":2}</v>
      </c>
      <c r="M35" s="2253" t="str">
        <f t="shared" si="3"/>
        <v>{"status": "aangenomen", "title": "M0133", "url": "https://www.reddit.com/r/RMTK/comments/ecsj9d/m0133_motie_tot_erkenning_armeense_genocide/", "voor":11, "tegen": 0, "onthouden":2}</v>
      </c>
      <c r="N35" s="2253" t="str">
        <f t="shared" si="3"/>
        <v>{"status": "aangenomen", "title": "W0058", "url": "https://www.reddit.com/r/RMTK/comments/ecbver/w0058_wet_verkorting_uitkeringsduur_appa_2020/", "voor":12, "tegen": 0, "onthouden":1}</v>
      </c>
      <c r="O35" s="2253" t="str">
        <f t="shared" si="3"/>
        <v>{"status": "aangenomen", "title": "M0134", "url": "https://www.reddit.com/r/RMTK/comments/edxhs2/m0134_motie_tot_erkenning_van_de_genocide_op_de/", "voor":12, "tegen": 2, "onthouden":3}</v>
      </c>
      <c r="P35" s="2253" t="str">
        <f t="shared" si="3"/>
        <v>{"status": "aangenomen", "title": "W0057-I", "url": "https://www.reddit.com/r/RMTK/comments/eek1v9/w0057i_amendement_tot_wijziging_van_het/", "voor":11, "tegen": 10, "onthouden":1}</v>
      </c>
      <c r="Q35" s="2253" t="str">
        <f t="shared" si="3"/>
        <v>{"status": "aangenomen", "title": "W0059", "url": "https://www.reddit.com/r/RMTK/comments/efm3vz/w0059_wetsvoorstel_tot_budgettaire_begroting/", "voor":21, "tegen": 0, "onthouden":1}</v>
      </c>
      <c r="R35" s="2253" t="str">
        <f t="shared" si="3"/>
        <v>{"status": "aangenomen", "title": "W0060", "url": "https://www.reddit.com/r/RMTK/comments/eixzg8/w0060_wetswijziging_tot_verhoging_algemene/", "voor":15, "tegen": 1, "onthouden":1}</v>
      </c>
      <c r="S35" s="2253" t="str">
        <f t="shared" si="3"/>
        <v>{"status": "aangenomen", "title": "M0135", "url": "https://www.reddit.com/r/RMTK/comments/eixzgh/m0135_motie_tot_het_gratis_maken_van/", "voor":11, "tegen": 4, "onthouden":2}</v>
      </c>
      <c r="T35" s="2253" t="str">
        <f t="shared" si="3"/>
        <v>{"status": "aangenomen", "title": "W0061", "url": "https://www.reddit.com/r/RMTK/comments/em9c3k/w0061_rijkswet_afkondigings_en/", "voor":10, "tegen": 9, "onthouden":1}</v>
      </c>
      <c r="U35" s="2253" t="str">
        <f t="shared" si="3"/>
        <v>{"status": "aangenomen", "title": "M0136", "url": "https://www.reddit.com/r/RMTK/comments/emrfn7/m0136_motie_tot_terugtrekking_van_amerikaanse/", "voor":11, "tegen": 8, "onthouden":1}</v>
      </c>
      <c r="V35" s="2253" t="str">
        <f t="shared" si="3"/>
        <v>{"status": "aangenomen", "title": "W0062", "url": "https://www.reddit.com/r/RMTK/comments/eo3tv9/w0062_wet_tot_het_samenvoegen_van_de_rustwetten/", "voor":14, "tegen": 5, "onthouden":1}</v>
      </c>
      <c r="W35" s="2253" t="str">
        <f t="shared" si="3"/>
        <v>{"status": "aangenomen", "title": "W0063", "url": "https://www.reddit.com/r/RMTK/comments/eokzf9/w0063_wet_tot_oprichting_van_het/", "voor":14, "tegen": 5, "onthouden":1}</v>
      </c>
      <c r="X35" s="2253" t="str">
        <f t="shared" si="3"/>
        <v>{"status": "verworpen", "title": "W0057", "url": "https://www.reddit.com/r/RMTK/comments/epax7w/w0057_wetsvoorstel_tot_oprichting_van_het_erica/", "voor":8, "tegen": 11, "onthouden":1}</v>
      </c>
      <c r="Y35" s="2253" t="str">
        <f t="shared" si="3"/>
        <v>{"status": "aangenomen", "title": "M0137", "url": "https://www.reddit.com/r/RMTK/comments/ep21sj/m0137_motie_tot_het_goedkoper_maken_van_de/", "voor":13, "tegen": 2, "onthouden":1}</v>
      </c>
      <c r="Z35" s="2253" t="str">
        <f t="shared" si="3"/>
        <v>{"status": "verworpen", "title": "M0138", "url": "https://www.reddit.com/r/RMTK/comments/epj1fz/m0138_motie_tot_het_steunen_van_iraanse/", "voor":7, "tegen": 8, "onthouden":1}</v>
      </c>
      <c r="AA35" s="2253" t="str">
        <f t="shared" si="3"/>
        <v>{"status": "verworpen", "title": "M0139", "url": "https://www.reddit.com/r/RMTK/comments/epj1g9/m0139_motie_tot_verhoging_maximumsnelheid/", "voor":5, "tegen": 9, "onthouden":2}</v>
      </c>
      <c r="AB35" s="2253" t="str">
        <f t="shared" si="3"/>
        <v>{"status": "aangenomen", "title": "M0140", "url": "https://www.reddit.com/r/RMTK/comments/ercxen/m0140_motie_tot_het_behouden_van_het_friese/", "voor":8, "tegen": 6, "onthouden":2}</v>
      </c>
      <c r="AC35" s="2254" t="str">
        <f t="shared" si="3"/>
        <v>{"status": "verworpen", "title": "M0141", "url": "https://www.reddit.com/r/RMTK/comments/esblyw/m0141_motie_tot_verbreding_staatsieportret_van/", "voor":3, "tegen": 16, "onthouden":0}</v>
      </c>
      <c r="AD35" s="2254" t="str">
        <f t="shared" si="3"/>
        <v>{"status": "aangenomen", "title": "W0064", "url": "https://www.reddit.com/r/RMTK/comments/esssij/w0064_wet_gelijke_behandeling_op_grond_van/", "voor":19, "tegen": 0, "onthouden":0}</v>
      </c>
      <c r="AE35" s="2253" t="str">
        <f t="shared" si="3"/>
        <v>{"status": "aangenomen", "title": "W0066", "url": "https://www.reddit.com/r/RMTK/comments/ev5bje/w0066_wijziging_van_de_kernenergiewet_ter/", "voor":17, "tegen": 0, "onthouden":1}</v>
      </c>
      <c r="AF35" s="2253" t="str">
        <f t="shared" si="3"/>
        <v>{"status": "verworpen", "title": "W0065", "url": "https://www.reddit.com/r/RMTK/comments/evvxqc/w0065_wetswijziging_drank_en_horecawet/", "voor":8, "tegen": 9, "onthouden":1}</v>
      </c>
      <c r="AG35" s="2253" t="str">
        <f t="shared" si="3"/>
        <v>{"status": "aangenomen", "title": "W0067", "url": "https://www.reddit.com/r/RMTK/comments/ewnh2a/w0067_wetswijziging_afschaffing_verzwaarde/", "voor":9, "tegen": 8, "onthouden":1}</v>
      </c>
      <c r="AH35" s="2253" t="str">
        <f t="shared" si="3"/>
        <v>{"status": "aangenomen", "title": "W0068", "url": "https://www.reddit.com/r/RMTK/comments/ey660k/w0068_wijziging_van_de_algemene_rustwet_voor_de/", "voor":17, "tegen": 0, "onthouden":1}</v>
      </c>
      <c r="AI35" s="2253" t="str">
        <f t="shared" si="3"/>
        <v>{"status": "verworpen", "title": "W0069-I", "url": "https://www.reddit.com/r/RMTK/comments/f1hnca/w0069i_wetsvoorstel_tot_oprichting_van_het_alan/", "voor":8, "tegen": 12, "onthouden":1}</v>
      </c>
      <c r="AJ35" s="2253" t="str">
        <f t="shared" si="3"/>
        <v>{"status": "aangenomen", "title": "M0143", "url": "https://www.reddit.com/r/RMTK/comments/ez8jds/m0143_motie_tot_vestiging_nederlandse_ambassade/", "voor":16, "tegen": 3, "onthouden":2}</v>
      </c>
      <c r="AK35" s="2253" t="str">
        <f t="shared" si="3"/>
        <v>{"status": "aangenomen", "title": "M0144", "url": "https://www.reddit.com/r/RMTK/comments/ewsp2r/m0144_motie_tot_onderzoek_naar_de_mogelijkheid/", "voor":20, "tegen": 1, "onthouden":0}</v>
      </c>
      <c r="AL35" s="2253" t="str">
        <f t="shared" si="3"/>
        <v>{"status": "aangenomen", "title": "M0145", "url": "https://www.reddit.com/r/RMTK/comments/f1zkdu/m0145_motie_tot_het_oprichten_van_een_permanent/", "voor":16, "tegen": 4, "onthouden":1}</v>
      </c>
      <c r="AM35" s="2253" t="str">
        <f t="shared" si="3"/>
        <v>{"status": "aangenomen", "title": "W0069", "url": "https://www.reddit.com/r/RMTK/comments/ewsp33/w0069_wetsvoorstel_tot_oprichting_alan/", "voor":14, "tegen": 7, "onthouden":1}</v>
      </c>
      <c r="AN35" s="2253" t="str">
        <f t="shared" si="3"/>
        <v>{"status": "aangenomen", "title": "W0070", "url": "https://www.reddit.com/r/RMTK/comments/f58gig/w0070_voorstel_wet_derde_geslacht/", "voor":12, "tegen": 8, "onthouden":2}</v>
      </c>
      <c r="AO35" s="2253" t="str">
        <f t="shared" si="3"/>
        <v>{"status": "verworpen", "title": "W0071", "url": "https://www.reddit.com/r/RMTK/comments/f5rhvs/w0071_wet_op_de_kansspelen_2020/", "voor":10, "tegen": 11, "onthouden":1}</v>
      </c>
      <c r="AP35" s="2253" t="str">
        <f t="shared" si="3"/>
        <v>{"status": "aangenomen", "title": "M0146", "url": "https://www.reddit.com/r/RMTK/comments/f99ym2/m0146_motie_tot_negatief_reisadvies_naar/", "voor":12, "tegen": 3, "onthouden":4}</v>
      </c>
      <c r="AQ35" s="2253" t="str">
        <f t="shared" si="3"/>
        <v>{"status": "aangenomen", "title": "W0072", "url": "https://www.reddit.com/r/RMTK/comments/f71ubr/w0072_wet_tot_inkomensafhankelijke_regeling/", "voor":17, "tegen": 1, "onthouden":1}</v>
      </c>
      <c r="AR35" s="2253" t="str">
        <f t="shared" si="3"/>
        <v>{"status": "aangenomen", "title": "M0147", "url": "https://www.reddit.com/r/RMTK/comments/falkwf/m0146_motie_tot_het_afschaffen_van_de_permanente/", "voor":7, "tegen": 6, "onthouden":1}</v>
      </c>
      <c r="AS35" s="2253" t="str">
        <f t="shared" si="3"/>
        <v>{"status": "verworpen", "title": "M0148", "url": "https://www.reddit.com/r/RMTK/comments/fc37je/m0148_motie_tot_het_in_werking_doen_treden_van/", "voor":2, "tegen": 6, "onthouden":6}</v>
      </c>
      <c r="AT35" s="2253" t="str">
        <f t="shared" si="3"/>
        <v>{"status": "verworpen", "title": "W0072-I", "url": "https://www.reddit.com/r/RMTK/comments/fd455m/w0072i_amendement_tot_wijziging_van_w0072_wet_tot/", "voor":6, "tegen": 7, "onthouden":1}</v>
      </c>
      <c r="AU35" s="2253" t="str">
        <f t="shared" si="3"/>
        <v>{"status": "aangenomen", "title": "W0073", "url": "https://www.reddit.com/r/RMTK/comments/f9swuj/w0073_wet_tot_invoering_reinheitsgebot20/", "voor":10, "tegen": 1, "onthouden":3}</v>
      </c>
      <c r="AV35" s="2253" t="str">
        <f t="shared" si="3"/>
        <v>{"status": "aangenomen", "title": "W0073-I", "url": "https://www.reddit.com/r/RMTK/comments/fd455r/w0073i_amendement_tot_wijziging_van_het/", "voor":12, "tegen": 1, "onthouden":1}</v>
      </c>
      <c r="AW35" s="2255" t="str">
        <f t="shared" si="3"/>
        <v>{"status": "aangenomen", "title": "W0074", "url": "https://www.reddit.com/r/RMTK/comments/fcbr2f/w0074_wet_tot_invoeren_van_een_verplichte/", "voor":12, "tegen": 1, "onthouden":1}</v>
      </c>
      <c r="AX35" s="2256"/>
    </row>
    <row r="36" ht="18.0" customHeight="1">
      <c r="A36" s="198" t="s">
        <v>119</v>
      </c>
      <c r="B36" s="199" t="s">
        <v>91</v>
      </c>
      <c r="C36" s="44"/>
      <c r="D36" s="2183">
        <f t="shared" ref="D36:AW36" si="4">COUNTIF(D5:D34,"Voor")</f>
        <v>18</v>
      </c>
      <c r="E36" s="2183">
        <f t="shared" si="4"/>
        <v>1</v>
      </c>
      <c r="F36" s="2183">
        <f t="shared" si="4"/>
        <v>18</v>
      </c>
      <c r="G36" s="2183">
        <f t="shared" si="4"/>
        <v>17</v>
      </c>
      <c r="H36" s="265">
        <f t="shared" si="4"/>
        <v>15</v>
      </c>
      <c r="I36" s="2183">
        <f t="shared" si="4"/>
        <v>12</v>
      </c>
      <c r="J36" s="2183">
        <f t="shared" si="4"/>
        <v>17</v>
      </c>
      <c r="K36" s="2183">
        <f t="shared" si="4"/>
        <v>7</v>
      </c>
      <c r="L36" s="2183">
        <f t="shared" si="4"/>
        <v>5</v>
      </c>
      <c r="M36" s="2183">
        <f t="shared" si="4"/>
        <v>11</v>
      </c>
      <c r="N36" s="2183">
        <f t="shared" si="4"/>
        <v>12</v>
      </c>
      <c r="O36" s="2183">
        <f t="shared" si="4"/>
        <v>12</v>
      </c>
      <c r="P36" s="2183">
        <f t="shared" si="4"/>
        <v>11</v>
      </c>
      <c r="Q36" s="2183">
        <f t="shared" si="4"/>
        <v>21</v>
      </c>
      <c r="R36" s="2183">
        <f t="shared" si="4"/>
        <v>15</v>
      </c>
      <c r="S36" s="2183">
        <f t="shared" si="4"/>
        <v>11</v>
      </c>
      <c r="T36" s="2183">
        <f t="shared" si="4"/>
        <v>10</v>
      </c>
      <c r="U36" s="2183">
        <f t="shared" si="4"/>
        <v>11</v>
      </c>
      <c r="V36" s="2183">
        <f t="shared" si="4"/>
        <v>14</v>
      </c>
      <c r="W36" s="2183">
        <f t="shared" si="4"/>
        <v>14</v>
      </c>
      <c r="X36" s="2183">
        <f t="shared" si="4"/>
        <v>8</v>
      </c>
      <c r="Y36" s="2183">
        <f t="shared" si="4"/>
        <v>13</v>
      </c>
      <c r="Z36" s="2183">
        <f t="shared" si="4"/>
        <v>7</v>
      </c>
      <c r="AA36" s="2183">
        <f t="shared" si="4"/>
        <v>5</v>
      </c>
      <c r="AB36" s="2183">
        <f t="shared" si="4"/>
        <v>8</v>
      </c>
      <c r="AC36" s="2183">
        <f t="shared" si="4"/>
        <v>3</v>
      </c>
      <c r="AD36" s="265">
        <f t="shared" si="4"/>
        <v>19</v>
      </c>
      <c r="AE36" s="2183">
        <f t="shared" si="4"/>
        <v>17</v>
      </c>
      <c r="AF36" s="2183">
        <f t="shared" si="4"/>
        <v>8</v>
      </c>
      <c r="AG36" s="2183">
        <f t="shared" si="4"/>
        <v>9</v>
      </c>
      <c r="AH36" s="2183">
        <f t="shared" si="4"/>
        <v>17</v>
      </c>
      <c r="AI36" s="2183">
        <f t="shared" si="4"/>
        <v>8</v>
      </c>
      <c r="AJ36" s="2183">
        <f t="shared" si="4"/>
        <v>16</v>
      </c>
      <c r="AK36" s="2183">
        <f t="shared" si="4"/>
        <v>20</v>
      </c>
      <c r="AL36" s="2183">
        <f t="shared" si="4"/>
        <v>16</v>
      </c>
      <c r="AM36" s="265">
        <f t="shared" si="4"/>
        <v>14</v>
      </c>
      <c r="AN36" s="2183">
        <f t="shared" si="4"/>
        <v>12</v>
      </c>
      <c r="AO36" s="2183">
        <f t="shared" si="4"/>
        <v>10</v>
      </c>
      <c r="AP36" s="265">
        <f t="shared" si="4"/>
        <v>12</v>
      </c>
      <c r="AQ36" s="265">
        <f t="shared" si="4"/>
        <v>17</v>
      </c>
      <c r="AR36" s="2183">
        <f t="shared" si="4"/>
        <v>7</v>
      </c>
      <c r="AS36" s="2183">
        <f t="shared" si="4"/>
        <v>2</v>
      </c>
      <c r="AT36" s="2183">
        <f t="shared" si="4"/>
        <v>6</v>
      </c>
      <c r="AU36" s="265">
        <f t="shared" si="4"/>
        <v>10</v>
      </c>
      <c r="AV36" s="2183">
        <f t="shared" si="4"/>
        <v>12</v>
      </c>
      <c r="AW36" s="2183">
        <f t="shared" si="4"/>
        <v>12</v>
      </c>
      <c r="AX36" s="2184"/>
    </row>
    <row r="37" ht="18.75" customHeight="1">
      <c r="A37" s="44"/>
      <c r="B37" s="203" t="s">
        <v>92</v>
      </c>
      <c r="C37" s="44"/>
      <c r="D37" s="2187">
        <f t="shared" ref="D37:AW37" si="5">COUNTIF(D5:D34,"Tegen")</f>
        <v>0</v>
      </c>
      <c r="E37" s="2187">
        <f t="shared" si="5"/>
        <v>18</v>
      </c>
      <c r="F37" s="2187">
        <f t="shared" si="5"/>
        <v>0</v>
      </c>
      <c r="G37" s="2187">
        <f t="shared" si="5"/>
        <v>2</v>
      </c>
      <c r="H37" s="267">
        <f t="shared" si="5"/>
        <v>3</v>
      </c>
      <c r="I37" s="2187">
        <f t="shared" si="5"/>
        <v>6</v>
      </c>
      <c r="J37" s="2187">
        <f t="shared" si="5"/>
        <v>0</v>
      </c>
      <c r="K37" s="2187">
        <f t="shared" si="5"/>
        <v>10</v>
      </c>
      <c r="L37" s="2187">
        <f t="shared" si="5"/>
        <v>12</v>
      </c>
      <c r="M37" s="2187">
        <f t="shared" si="5"/>
        <v>0</v>
      </c>
      <c r="N37" s="2187">
        <f t="shared" si="5"/>
        <v>0</v>
      </c>
      <c r="O37" s="2187">
        <f t="shared" si="5"/>
        <v>2</v>
      </c>
      <c r="P37" s="2187">
        <f t="shared" si="5"/>
        <v>10</v>
      </c>
      <c r="Q37" s="2187">
        <f t="shared" si="5"/>
        <v>0</v>
      </c>
      <c r="R37" s="2187">
        <f t="shared" si="5"/>
        <v>1</v>
      </c>
      <c r="S37" s="2187">
        <f t="shared" si="5"/>
        <v>4</v>
      </c>
      <c r="T37" s="2187">
        <f t="shared" si="5"/>
        <v>9</v>
      </c>
      <c r="U37" s="2187">
        <f t="shared" si="5"/>
        <v>8</v>
      </c>
      <c r="V37" s="2187">
        <f t="shared" si="5"/>
        <v>5</v>
      </c>
      <c r="W37" s="2187">
        <f t="shared" si="5"/>
        <v>5</v>
      </c>
      <c r="X37" s="2187">
        <f t="shared" si="5"/>
        <v>11</v>
      </c>
      <c r="Y37" s="2187">
        <f t="shared" si="5"/>
        <v>2</v>
      </c>
      <c r="Z37" s="2187">
        <f t="shared" si="5"/>
        <v>8</v>
      </c>
      <c r="AA37" s="2187">
        <f t="shared" si="5"/>
        <v>9</v>
      </c>
      <c r="AB37" s="2187">
        <f t="shared" si="5"/>
        <v>6</v>
      </c>
      <c r="AC37" s="2187">
        <f t="shared" si="5"/>
        <v>16</v>
      </c>
      <c r="AD37" s="267">
        <f t="shared" si="5"/>
        <v>0</v>
      </c>
      <c r="AE37" s="2187">
        <f t="shared" si="5"/>
        <v>0</v>
      </c>
      <c r="AF37" s="2187">
        <f t="shared" si="5"/>
        <v>9</v>
      </c>
      <c r="AG37" s="2187">
        <f t="shared" si="5"/>
        <v>8</v>
      </c>
      <c r="AH37" s="2187">
        <f t="shared" si="5"/>
        <v>0</v>
      </c>
      <c r="AI37" s="2187">
        <f t="shared" si="5"/>
        <v>12</v>
      </c>
      <c r="AJ37" s="2187">
        <f t="shared" si="5"/>
        <v>3</v>
      </c>
      <c r="AK37" s="2187">
        <f t="shared" si="5"/>
        <v>1</v>
      </c>
      <c r="AL37" s="2187">
        <f t="shared" si="5"/>
        <v>4</v>
      </c>
      <c r="AM37" s="267">
        <f t="shared" si="5"/>
        <v>7</v>
      </c>
      <c r="AN37" s="2187">
        <f t="shared" si="5"/>
        <v>8</v>
      </c>
      <c r="AO37" s="2187">
        <f t="shared" si="5"/>
        <v>11</v>
      </c>
      <c r="AP37" s="267">
        <f t="shared" si="5"/>
        <v>3</v>
      </c>
      <c r="AQ37" s="267">
        <f t="shared" si="5"/>
        <v>1</v>
      </c>
      <c r="AR37" s="2187">
        <f t="shared" si="5"/>
        <v>6</v>
      </c>
      <c r="AS37" s="2187">
        <f t="shared" si="5"/>
        <v>6</v>
      </c>
      <c r="AT37" s="2187">
        <f t="shared" si="5"/>
        <v>7</v>
      </c>
      <c r="AU37" s="267">
        <f t="shared" si="5"/>
        <v>1</v>
      </c>
      <c r="AV37" s="2187">
        <f t="shared" si="5"/>
        <v>1</v>
      </c>
      <c r="AW37" s="2187">
        <f t="shared" si="5"/>
        <v>1</v>
      </c>
      <c r="AX37" s="2188"/>
    </row>
    <row r="38" ht="18.75" customHeight="1">
      <c r="A38" s="44"/>
      <c r="B38" s="207" t="s">
        <v>120</v>
      </c>
      <c r="C38" s="44"/>
      <c r="D38" s="2191">
        <f t="shared" ref="D38:AW38" si="6">COUNTIF(D5:D34,"SO")</f>
        <v>1</v>
      </c>
      <c r="E38" s="2191">
        <f t="shared" si="6"/>
        <v>0</v>
      </c>
      <c r="F38" s="2191">
        <f t="shared" si="6"/>
        <v>1</v>
      </c>
      <c r="G38" s="2191">
        <f t="shared" si="6"/>
        <v>1</v>
      </c>
      <c r="H38" s="269">
        <f t="shared" si="6"/>
        <v>2</v>
      </c>
      <c r="I38" s="2191">
        <f t="shared" si="6"/>
        <v>2</v>
      </c>
      <c r="J38" s="2191">
        <f t="shared" si="6"/>
        <v>3</v>
      </c>
      <c r="K38" s="2191">
        <f t="shared" si="6"/>
        <v>0</v>
      </c>
      <c r="L38" s="2191">
        <f t="shared" si="6"/>
        <v>2</v>
      </c>
      <c r="M38" s="2191">
        <f t="shared" si="6"/>
        <v>2</v>
      </c>
      <c r="N38" s="2191">
        <f t="shared" si="6"/>
        <v>1</v>
      </c>
      <c r="O38" s="2191">
        <f t="shared" si="6"/>
        <v>3</v>
      </c>
      <c r="P38" s="2191">
        <f t="shared" si="6"/>
        <v>1</v>
      </c>
      <c r="Q38" s="2191">
        <f t="shared" si="6"/>
        <v>1</v>
      </c>
      <c r="R38" s="2191">
        <f t="shared" si="6"/>
        <v>1</v>
      </c>
      <c r="S38" s="2191">
        <f t="shared" si="6"/>
        <v>2</v>
      </c>
      <c r="T38" s="2191">
        <f t="shared" si="6"/>
        <v>1</v>
      </c>
      <c r="U38" s="2191">
        <f t="shared" si="6"/>
        <v>1</v>
      </c>
      <c r="V38" s="2191">
        <f t="shared" si="6"/>
        <v>1</v>
      </c>
      <c r="W38" s="2191">
        <f t="shared" si="6"/>
        <v>1</v>
      </c>
      <c r="X38" s="2191">
        <f t="shared" si="6"/>
        <v>1</v>
      </c>
      <c r="Y38" s="2191">
        <f t="shared" si="6"/>
        <v>1</v>
      </c>
      <c r="Z38" s="2191">
        <f t="shared" si="6"/>
        <v>1</v>
      </c>
      <c r="AA38" s="2191">
        <f t="shared" si="6"/>
        <v>2</v>
      </c>
      <c r="AB38" s="2191">
        <f t="shared" si="6"/>
        <v>2</v>
      </c>
      <c r="AC38" s="2191">
        <f t="shared" si="6"/>
        <v>0</v>
      </c>
      <c r="AD38" s="269">
        <f t="shared" si="6"/>
        <v>0</v>
      </c>
      <c r="AE38" s="2191">
        <f t="shared" si="6"/>
        <v>1</v>
      </c>
      <c r="AF38" s="2191">
        <f t="shared" si="6"/>
        <v>1</v>
      </c>
      <c r="AG38" s="2191">
        <f t="shared" si="6"/>
        <v>1</v>
      </c>
      <c r="AH38" s="2191">
        <f t="shared" si="6"/>
        <v>1</v>
      </c>
      <c r="AI38" s="2191">
        <f t="shared" si="6"/>
        <v>1</v>
      </c>
      <c r="AJ38" s="2191">
        <f t="shared" si="6"/>
        <v>2</v>
      </c>
      <c r="AK38" s="2191">
        <f t="shared" si="6"/>
        <v>0</v>
      </c>
      <c r="AL38" s="2191">
        <f t="shared" si="6"/>
        <v>1</v>
      </c>
      <c r="AM38" s="269">
        <f t="shared" si="6"/>
        <v>1</v>
      </c>
      <c r="AN38" s="2191">
        <f t="shared" si="6"/>
        <v>2</v>
      </c>
      <c r="AO38" s="2191">
        <f t="shared" si="6"/>
        <v>1</v>
      </c>
      <c r="AP38" s="269">
        <f t="shared" si="6"/>
        <v>4</v>
      </c>
      <c r="AQ38" s="269">
        <f t="shared" si="6"/>
        <v>1</v>
      </c>
      <c r="AR38" s="2191">
        <f t="shared" si="6"/>
        <v>1</v>
      </c>
      <c r="AS38" s="2191">
        <f t="shared" si="6"/>
        <v>6</v>
      </c>
      <c r="AT38" s="2191">
        <f t="shared" si="6"/>
        <v>1</v>
      </c>
      <c r="AU38" s="269">
        <f t="shared" si="6"/>
        <v>3</v>
      </c>
      <c r="AV38" s="2191">
        <f t="shared" si="6"/>
        <v>1</v>
      </c>
      <c r="AW38" s="2191">
        <f t="shared" si="6"/>
        <v>1</v>
      </c>
      <c r="AX38" s="2192"/>
    </row>
    <row r="39" ht="18.75" customHeight="1">
      <c r="A39" s="44"/>
      <c r="B39" s="211" t="s">
        <v>121</v>
      </c>
      <c r="C39" s="44"/>
      <c r="D39" s="2195">
        <f t="shared" ref="D39:AW39" si="7">COUNTIF(D5:D34,"NG")</f>
        <v>6</v>
      </c>
      <c r="E39" s="2195">
        <f t="shared" si="7"/>
        <v>6</v>
      </c>
      <c r="F39" s="2195">
        <f t="shared" si="7"/>
        <v>6</v>
      </c>
      <c r="G39" s="2195">
        <f t="shared" si="7"/>
        <v>5</v>
      </c>
      <c r="H39" s="271">
        <f t="shared" si="7"/>
        <v>5</v>
      </c>
      <c r="I39" s="2195">
        <f t="shared" si="7"/>
        <v>5</v>
      </c>
      <c r="J39" s="2195">
        <f t="shared" si="7"/>
        <v>5</v>
      </c>
      <c r="K39" s="2195">
        <f t="shared" si="7"/>
        <v>8</v>
      </c>
      <c r="L39" s="2195">
        <f t="shared" si="7"/>
        <v>6</v>
      </c>
      <c r="M39" s="2195">
        <f t="shared" si="7"/>
        <v>12</v>
      </c>
      <c r="N39" s="2195">
        <f t="shared" si="7"/>
        <v>12</v>
      </c>
      <c r="O39" s="2195">
        <f t="shared" si="7"/>
        <v>8</v>
      </c>
      <c r="P39" s="2195">
        <f t="shared" si="7"/>
        <v>3</v>
      </c>
      <c r="Q39" s="2195">
        <f t="shared" si="7"/>
        <v>3</v>
      </c>
      <c r="R39" s="2195">
        <f t="shared" si="7"/>
        <v>8</v>
      </c>
      <c r="S39" s="2195">
        <f t="shared" si="7"/>
        <v>8</v>
      </c>
      <c r="T39" s="2195">
        <f t="shared" si="7"/>
        <v>5</v>
      </c>
      <c r="U39" s="2195">
        <f t="shared" si="7"/>
        <v>5</v>
      </c>
      <c r="V39" s="2195">
        <f t="shared" si="7"/>
        <v>5</v>
      </c>
      <c r="W39" s="2195">
        <f t="shared" si="7"/>
        <v>5</v>
      </c>
      <c r="X39" s="2195">
        <f t="shared" si="7"/>
        <v>5</v>
      </c>
      <c r="Y39" s="2195">
        <f t="shared" si="7"/>
        <v>9</v>
      </c>
      <c r="Z39" s="2195">
        <f t="shared" si="7"/>
        <v>9</v>
      </c>
      <c r="AA39" s="2195">
        <f t="shared" si="7"/>
        <v>9</v>
      </c>
      <c r="AB39" s="2195">
        <f t="shared" si="7"/>
        <v>9</v>
      </c>
      <c r="AC39" s="2195">
        <f t="shared" si="7"/>
        <v>6</v>
      </c>
      <c r="AD39" s="271">
        <f t="shared" si="7"/>
        <v>6</v>
      </c>
      <c r="AE39" s="2195">
        <f t="shared" si="7"/>
        <v>7</v>
      </c>
      <c r="AF39" s="2195">
        <f t="shared" si="7"/>
        <v>7</v>
      </c>
      <c r="AG39" s="2195">
        <f t="shared" si="7"/>
        <v>7</v>
      </c>
      <c r="AH39" s="2195">
        <f t="shared" si="7"/>
        <v>7</v>
      </c>
      <c r="AI39" s="2195">
        <f t="shared" si="7"/>
        <v>4</v>
      </c>
      <c r="AJ39" s="2195">
        <f t="shared" si="7"/>
        <v>4</v>
      </c>
      <c r="AK39" s="2195">
        <f t="shared" si="7"/>
        <v>4</v>
      </c>
      <c r="AL39" s="2195">
        <f t="shared" si="7"/>
        <v>4</v>
      </c>
      <c r="AM39" s="271">
        <f t="shared" si="7"/>
        <v>3</v>
      </c>
      <c r="AN39" s="2195">
        <f t="shared" si="7"/>
        <v>3</v>
      </c>
      <c r="AO39" s="2195">
        <f t="shared" si="7"/>
        <v>3</v>
      </c>
      <c r="AP39" s="271">
        <f t="shared" si="7"/>
        <v>6</v>
      </c>
      <c r="AQ39" s="271">
        <f t="shared" si="7"/>
        <v>6</v>
      </c>
      <c r="AR39" s="2195">
        <f t="shared" si="7"/>
        <v>11</v>
      </c>
      <c r="AS39" s="2195">
        <f t="shared" si="7"/>
        <v>11</v>
      </c>
      <c r="AT39" s="2195">
        <f t="shared" si="7"/>
        <v>11</v>
      </c>
      <c r="AU39" s="271">
        <f t="shared" si="7"/>
        <v>11</v>
      </c>
      <c r="AV39" s="2195">
        <f t="shared" si="7"/>
        <v>11</v>
      </c>
      <c r="AW39" s="2195">
        <f t="shared" si="7"/>
        <v>11</v>
      </c>
      <c r="AX39" s="2196"/>
    </row>
    <row r="40" ht="18.75" customHeight="1">
      <c r="A40" s="44"/>
      <c r="B40" s="215" t="s">
        <v>122</v>
      </c>
      <c r="C40" s="44"/>
      <c r="D40" s="273">
        <f t="shared" ref="D40:AW40" si="8">SUM(D36:D39)</f>
        <v>25</v>
      </c>
      <c r="E40" s="273">
        <f t="shared" si="8"/>
        <v>25</v>
      </c>
      <c r="F40" s="273">
        <f t="shared" si="8"/>
        <v>25</v>
      </c>
      <c r="G40" s="273">
        <f t="shared" si="8"/>
        <v>25</v>
      </c>
      <c r="H40" s="274">
        <f t="shared" si="8"/>
        <v>25</v>
      </c>
      <c r="I40" s="273">
        <f t="shared" si="8"/>
        <v>25</v>
      </c>
      <c r="J40" s="273">
        <f t="shared" si="8"/>
        <v>25</v>
      </c>
      <c r="K40" s="273">
        <f t="shared" si="8"/>
        <v>25</v>
      </c>
      <c r="L40" s="273">
        <f t="shared" si="8"/>
        <v>25</v>
      </c>
      <c r="M40" s="273">
        <f t="shared" si="8"/>
        <v>25</v>
      </c>
      <c r="N40" s="273">
        <f t="shared" si="8"/>
        <v>25</v>
      </c>
      <c r="O40" s="273">
        <f t="shared" si="8"/>
        <v>25</v>
      </c>
      <c r="P40" s="273">
        <f t="shared" si="8"/>
        <v>25</v>
      </c>
      <c r="Q40" s="273">
        <f t="shared" si="8"/>
        <v>25</v>
      </c>
      <c r="R40" s="273">
        <f t="shared" si="8"/>
        <v>25</v>
      </c>
      <c r="S40" s="273">
        <f t="shared" si="8"/>
        <v>25</v>
      </c>
      <c r="T40" s="273">
        <f t="shared" si="8"/>
        <v>25</v>
      </c>
      <c r="U40" s="273">
        <f t="shared" si="8"/>
        <v>25</v>
      </c>
      <c r="V40" s="273">
        <f t="shared" si="8"/>
        <v>25</v>
      </c>
      <c r="W40" s="273">
        <f t="shared" si="8"/>
        <v>25</v>
      </c>
      <c r="X40" s="273">
        <f t="shared" si="8"/>
        <v>25</v>
      </c>
      <c r="Y40" s="273">
        <f t="shared" si="8"/>
        <v>25</v>
      </c>
      <c r="Z40" s="273">
        <f t="shared" si="8"/>
        <v>25</v>
      </c>
      <c r="AA40" s="273">
        <f t="shared" si="8"/>
        <v>25</v>
      </c>
      <c r="AB40" s="273">
        <f t="shared" si="8"/>
        <v>25</v>
      </c>
      <c r="AC40" s="273">
        <f t="shared" si="8"/>
        <v>25</v>
      </c>
      <c r="AD40" s="274">
        <f t="shared" si="8"/>
        <v>25</v>
      </c>
      <c r="AE40" s="273">
        <f t="shared" si="8"/>
        <v>25</v>
      </c>
      <c r="AF40" s="273">
        <f t="shared" si="8"/>
        <v>25</v>
      </c>
      <c r="AG40" s="273">
        <f t="shared" si="8"/>
        <v>25</v>
      </c>
      <c r="AH40" s="273">
        <f t="shared" si="8"/>
        <v>25</v>
      </c>
      <c r="AI40" s="273">
        <f t="shared" si="8"/>
        <v>25</v>
      </c>
      <c r="AJ40" s="273">
        <f t="shared" si="8"/>
        <v>25</v>
      </c>
      <c r="AK40" s="273">
        <f t="shared" si="8"/>
        <v>25</v>
      </c>
      <c r="AL40" s="273">
        <f t="shared" si="8"/>
        <v>25</v>
      </c>
      <c r="AM40" s="274">
        <f t="shared" si="8"/>
        <v>25</v>
      </c>
      <c r="AN40" s="273">
        <f t="shared" si="8"/>
        <v>25</v>
      </c>
      <c r="AO40" s="273">
        <f t="shared" si="8"/>
        <v>25</v>
      </c>
      <c r="AP40" s="274">
        <f t="shared" si="8"/>
        <v>25</v>
      </c>
      <c r="AQ40" s="274">
        <f t="shared" si="8"/>
        <v>25</v>
      </c>
      <c r="AR40" s="273">
        <f t="shared" si="8"/>
        <v>25</v>
      </c>
      <c r="AS40" s="273">
        <f t="shared" si="8"/>
        <v>25</v>
      </c>
      <c r="AT40" s="273">
        <f t="shared" si="8"/>
        <v>25</v>
      </c>
      <c r="AU40" s="274">
        <f t="shared" si="8"/>
        <v>25</v>
      </c>
      <c r="AV40" s="273">
        <f t="shared" si="8"/>
        <v>25</v>
      </c>
      <c r="AW40" s="273">
        <f t="shared" si="8"/>
        <v>25</v>
      </c>
      <c r="AX40" s="2199"/>
    </row>
    <row r="41" ht="18.75" customHeight="1">
      <c r="A41" s="44"/>
      <c r="B41" s="224" t="s">
        <v>124</v>
      </c>
      <c r="C41" s="44"/>
      <c r="D41" s="279">
        <f t="shared" ref="D41:AW41" si="9">D36+D37+D38</f>
        <v>19</v>
      </c>
      <c r="E41" s="279">
        <f t="shared" si="9"/>
        <v>19</v>
      </c>
      <c r="F41" s="279">
        <f t="shared" si="9"/>
        <v>19</v>
      </c>
      <c r="G41" s="279">
        <f t="shared" si="9"/>
        <v>20</v>
      </c>
      <c r="H41" s="280">
        <f t="shared" si="9"/>
        <v>20</v>
      </c>
      <c r="I41" s="279">
        <f t="shared" si="9"/>
        <v>20</v>
      </c>
      <c r="J41" s="279">
        <f t="shared" si="9"/>
        <v>20</v>
      </c>
      <c r="K41" s="279">
        <f t="shared" si="9"/>
        <v>17</v>
      </c>
      <c r="L41" s="279">
        <f t="shared" si="9"/>
        <v>19</v>
      </c>
      <c r="M41" s="279">
        <f t="shared" si="9"/>
        <v>13</v>
      </c>
      <c r="N41" s="279">
        <f t="shared" si="9"/>
        <v>13</v>
      </c>
      <c r="O41" s="279">
        <f t="shared" si="9"/>
        <v>17</v>
      </c>
      <c r="P41" s="279">
        <f t="shared" si="9"/>
        <v>22</v>
      </c>
      <c r="Q41" s="279">
        <f t="shared" si="9"/>
        <v>22</v>
      </c>
      <c r="R41" s="279">
        <f t="shared" si="9"/>
        <v>17</v>
      </c>
      <c r="S41" s="279">
        <f t="shared" si="9"/>
        <v>17</v>
      </c>
      <c r="T41" s="279">
        <f t="shared" si="9"/>
        <v>20</v>
      </c>
      <c r="U41" s="279">
        <f t="shared" si="9"/>
        <v>20</v>
      </c>
      <c r="V41" s="279">
        <f t="shared" si="9"/>
        <v>20</v>
      </c>
      <c r="W41" s="279">
        <f t="shared" si="9"/>
        <v>20</v>
      </c>
      <c r="X41" s="279">
        <f t="shared" si="9"/>
        <v>20</v>
      </c>
      <c r="Y41" s="279">
        <f t="shared" si="9"/>
        <v>16</v>
      </c>
      <c r="Z41" s="279">
        <f t="shared" si="9"/>
        <v>16</v>
      </c>
      <c r="AA41" s="279">
        <f t="shared" si="9"/>
        <v>16</v>
      </c>
      <c r="AB41" s="279">
        <f t="shared" si="9"/>
        <v>16</v>
      </c>
      <c r="AC41" s="279">
        <f t="shared" si="9"/>
        <v>19</v>
      </c>
      <c r="AD41" s="280">
        <f t="shared" si="9"/>
        <v>19</v>
      </c>
      <c r="AE41" s="279">
        <f t="shared" si="9"/>
        <v>18</v>
      </c>
      <c r="AF41" s="279">
        <f t="shared" si="9"/>
        <v>18</v>
      </c>
      <c r="AG41" s="279">
        <f t="shared" si="9"/>
        <v>18</v>
      </c>
      <c r="AH41" s="279">
        <f t="shared" si="9"/>
        <v>18</v>
      </c>
      <c r="AI41" s="279">
        <f t="shared" si="9"/>
        <v>21</v>
      </c>
      <c r="AJ41" s="279">
        <f t="shared" si="9"/>
        <v>21</v>
      </c>
      <c r="AK41" s="279">
        <f t="shared" si="9"/>
        <v>21</v>
      </c>
      <c r="AL41" s="279">
        <f t="shared" si="9"/>
        <v>21</v>
      </c>
      <c r="AM41" s="280">
        <f t="shared" si="9"/>
        <v>22</v>
      </c>
      <c r="AN41" s="279">
        <f t="shared" si="9"/>
        <v>22</v>
      </c>
      <c r="AO41" s="279">
        <f t="shared" si="9"/>
        <v>22</v>
      </c>
      <c r="AP41" s="280">
        <f t="shared" si="9"/>
        <v>19</v>
      </c>
      <c r="AQ41" s="280">
        <f t="shared" si="9"/>
        <v>19</v>
      </c>
      <c r="AR41" s="279">
        <f t="shared" si="9"/>
        <v>14</v>
      </c>
      <c r="AS41" s="279">
        <f t="shared" si="9"/>
        <v>14</v>
      </c>
      <c r="AT41" s="279">
        <f t="shared" si="9"/>
        <v>14</v>
      </c>
      <c r="AU41" s="280">
        <f t="shared" si="9"/>
        <v>14</v>
      </c>
      <c r="AV41" s="279">
        <f t="shared" si="9"/>
        <v>14</v>
      </c>
      <c r="AW41" s="279">
        <f t="shared" si="9"/>
        <v>14</v>
      </c>
      <c r="AX41" s="2201"/>
    </row>
    <row r="42" ht="18.75" customHeight="1">
      <c r="A42" s="228"/>
      <c r="B42" s="229" t="s">
        <v>125</v>
      </c>
      <c r="C42" s="228"/>
      <c r="D42" s="2205">
        <f t="shared" ref="D42:AW42" si="10">IFERROR(D41/D40,"")</f>
        <v>0.76</v>
      </c>
      <c r="E42" s="2205">
        <f t="shared" si="10"/>
        <v>0.76</v>
      </c>
      <c r="F42" s="2205">
        <f t="shared" si="10"/>
        <v>0.76</v>
      </c>
      <c r="G42" s="2205">
        <f t="shared" si="10"/>
        <v>0.8</v>
      </c>
      <c r="H42" s="282">
        <f t="shared" si="10"/>
        <v>0.8</v>
      </c>
      <c r="I42" s="2205">
        <f t="shared" si="10"/>
        <v>0.8</v>
      </c>
      <c r="J42" s="2205">
        <f t="shared" si="10"/>
        <v>0.8</v>
      </c>
      <c r="K42" s="2205">
        <f t="shared" si="10"/>
        <v>0.68</v>
      </c>
      <c r="L42" s="2205">
        <f t="shared" si="10"/>
        <v>0.76</v>
      </c>
      <c r="M42" s="2205">
        <f t="shared" si="10"/>
        <v>0.52</v>
      </c>
      <c r="N42" s="2205">
        <f t="shared" si="10"/>
        <v>0.52</v>
      </c>
      <c r="O42" s="2205">
        <f t="shared" si="10"/>
        <v>0.68</v>
      </c>
      <c r="P42" s="2205">
        <f t="shared" si="10"/>
        <v>0.88</v>
      </c>
      <c r="Q42" s="2205">
        <f t="shared" si="10"/>
        <v>0.88</v>
      </c>
      <c r="R42" s="2205">
        <f t="shared" si="10"/>
        <v>0.68</v>
      </c>
      <c r="S42" s="2205">
        <f t="shared" si="10"/>
        <v>0.68</v>
      </c>
      <c r="T42" s="2205">
        <f t="shared" si="10"/>
        <v>0.8</v>
      </c>
      <c r="U42" s="2205">
        <f t="shared" si="10"/>
        <v>0.8</v>
      </c>
      <c r="V42" s="2205">
        <f t="shared" si="10"/>
        <v>0.8</v>
      </c>
      <c r="W42" s="2205">
        <f t="shared" si="10"/>
        <v>0.8</v>
      </c>
      <c r="X42" s="2205">
        <f t="shared" si="10"/>
        <v>0.8</v>
      </c>
      <c r="Y42" s="2205">
        <f t="shared" si="10"/>
        <v>0.64</v>
      </c>
      <c r="Z42" s="2205">
        <f t="shared" si="10"/>
        <v>0.64</v>
      </c>
      <c r="AA42" s="2205">
        <f t="shared" si="10"/>
        <v>0.64</v>
      </c>
      <c r="AB42" s="2205">
        <f t="shared" si="10"/>
        <v>0.64</v>
      </c>
      <c r="AC42" s="2205">
        <f t="shared" si="10"/>
        <v>0.76</v>
      </c>
      <c r="AD42" s="282">
        <f t="shared" si="10"/>
        <v>0.76</v>
      </c>
      <c r="AE42" s="2205">
        <f t="shared" si="10"/>
        <v>0.72</v>
      </c>
      <c r="AF42" s="2205">
        <f t="shared" si="10"/>
        <v>0.72</v>
      </c>
      <c r="AG42" s="2205">
        <f t="shared" si="10"/>
        <v>0.72</v>
      </c>
      <c r="AH42" s="2205">
        <f t="shared" si="10"/>
        <v>0.72</v>
      </c>
      <c r="AI42" s="2205">
        <f t="shared" si="10"/>
        <v>0.84</v>
      </c>
      <c r="AJ42" s="2205">
        <f t="shared" si="10"/>
        <v>0.84</v>
      </c>
      <c r="AK42" s="2205">
        <f t="shared" si="10"/>
        <v>0.84</v>
      </c>
      <c r="AL42" s="2205">
        <f t="shared" si="10"/>
        <v>0.84</v>
      </c>
      <c r="AM42" s="282">
        <f t="shared" si="10"/>
        <v>0.88</v>
      </c>
      <c r="AN42" s="2205">
        <f t="shared" si="10"/>
        <v>0.88</v>
      </c>
      <c r="AO42" s="2205">
        <f t="shared" si="10"/>
        <v>0.88</v>
      </c>
      <c r="AP42" s="282">
        <f t="shared" si="10"/>
        <v>0.76</v>
      </c>
      <c r="AQ42" s="282">
        <f t="shared" si="10"/>
        <v>0.76</v>
      </c>
      <c r="AR42" s="2205">
        <f t="shared" si="10"/>
        <v>0.56</v>
      </c>
      <c r="AS42" s="2205">
        <f t="shared" si="10"/>
        <v>0.56</v>
      </c>
      <c r="AT42" s="2205">
        <f t="shared" si="10"/>
        <v>0.56</v>
      </c>
      <c r="AU42" s="282">
        <f t="shared" si="10"/>
        <v>0.56</v>
      </c>
      <c r="AV42" s="2205">
        <f t="shared" si="10"/>
        <v>0.56</v>
      </c>
      <c r="AW42" s="2205">
        <f t="shared" si="10"/>
        <v>0.56</v>
      </c>
      <c r="AX42" s="2208"/>
    </row>
  </sheetData>
  <mergeCells count="19">
    <mergeCell ref="B18:B21"/>
    <mergeCell ref="B23:B27"/>
    <mergeCell ref="A2:C2"/>
    <mergeCell ref="D2:AW4"/>
    <mergeCell ref="A3:C4"/>
    <mergeCell ref="A7:A21"/>
    <mergeCell ref="B7:B9"/>
    <mergeCell ref="B10:B17"/>
    <mergeCell ref="A23:A34"/>
    <mergeCell ref="B40:C40"/>
    <mergeCell ref="B41:C41"/>
    <mergeCell ref="B28:B29"/>
    <mergeCell ref="B30:B33"/>
    <mergeCell ref="A36:A42"/>
    <mergeCell ref="B36:C36"/>
    <mergeCell ref="B37:C37"/>
    <mergeCell ref="B38:C38"/>
    <mergeCell ref="B39:C39"/>
    <mergeCell ref="B42:C42"/>
  </mergeCells>
  <conditionalFormatting sqref="A3 B23:B24">
    <cfRule type="containsText" dxfId="0" priority="1" operator="containsText" text="voor">
      <formula>NOT(ISERROR(SEARCH(("voor"),(A3))))</formula>
    </cfRule>
  </conditionalFormatting>
  <conditionalFormatting sqref="A3 B23:B24">
    <cfRule type="containsText" dxfId="1" priority="2" operator="containsText" text="tegen">
      <formula>NOT(ISERROR(SEARCH(("tegen"),(A3))))</formula>
    </cfRule>
  </conditionalFormatting>
  <conditionalFormatting sqref="C7:C17 D7:F34 G7:AY21 B23:B27 C23:C29 G23:AY34">
    <cfRule type="containsText" dxfId="2" priority="3" operator="containsText" text="SO">
      <formula>NOT(ISERROR(SEARCH(("SO"),(C7))))</formula>
    </cfRule>
  </conditionalFormatting>
  <conditionalFormatting sqref="A3 C7:C17 D7:F34 G7:AY21 B23:B27 C23:C29 G23:AY34">
    <cfRule type="containsText" dxfId="3" priority="4" operator="containsText" text="tegen">
      <formula>NOT(ISERROR(SEARCH(("tegen"),(A3))))</formula>
    </cfRule>
  </conditionalFormatting>
  <conditionalFormatting sqref="C7:C17 D7:F34 G7:AY21 B23:B27 C23:C29 G23:AY34">
    <cfRule type="containsText" dxfId="4" priority="5" operator="containsText" text="voor">
      <formula>NOT(ISERROR(SEARCH(("voor"),(C7))))</formula>
    </cfRule>
  </conditionalFormatting>
  <conditionalFormatting sqref="C7:C17 D7:F34 G7:AY21 B23:B27 C23:C29 G23:AY34">
    <cfRule type="cellIs" dxfId="5" priority="6" operator="equal">
      <formula>"NG"</formula>
    </cfRule>
  </conditionalFormatting>
  <conditionalFormatting sqref="C7:C17 D7:F34 G7:AY21 B23:B27 C23:C29 G23:AY34">
    <cfRule type="containsText" dxfId="6" priority="7" operator="containsText" text="NVT">
      <formula>NOT(ISERROR(SEARCH(("NVT"),(C7))))</formula>
    </cfRule>
  </conditionalFormatting>
  <hyperlinks>
    <hyperlink r:id="rId1" ref="I22"/>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CC4125"/>
    <outlinePr summaryBelow="0" summaryRight="0"/>
  </sheetPr>
  <sheetViews>
    <sheetView workbookViewId="0">
      <pane xSplit="3.0" ySplit="6.0" topLeftCell="D7" activePane="bottomRight" state="frozen"/>
      <selection activeCell="D1" sqref="D1" pane="topRight"/>
      <selection activeCell="A7" sqref="A7" pane="bottomLeft"/>
      <selection activeCell="D7" sqref="D7" pane="bottomRight"/>
    </sheetView>
  </sheetViews>
  <sheetFormatPr customHeight="1" defaultColWidth="14.43" defaultRowHeight="15.75"/>
  <cols>
    <col customWidth="1" min="1" max="1" width="10.86"/>
    <col customWidth="1" min="2" max="2" width="11.0"/>
    <col customWidth="1" min="3" max="3" width="26.29"/>
    <col customWidth="1" min="5" max="22" width="14.43"/>
  </cols>
  <sheetData>
    <row r="1" ht="18.75" customHeight="1">
      <c r="A1" s="127"/>
      <c r="B1" s="128"/>
      <c r="C1" s="128"/>
      <c r="D1" s="128"/>
      <c r="E1" s="129"/>
      <c r="F1" s="129"/>
      <c r="G1" s="129"/>
      <c r="H1" s="129"/>
      <c r="I1" s="129"/>
      <c r="J1" s="129"/>
      <c r="K1" s="129"/>
      <c r="L1" s="129"/>
      <c r="M1" s="129"/>
      <c r="N1" s="129"/>
      <c r="O1" s="129"/>
      <c r="P1" s="129"/>
      <c r="Q1" s="129"/>
      <c r="R1" s="129"/>
      <c r="S1" s="129"/>
      <c r="T1" s="129"/>
      <c r="U1" s="129"/>
      <c r="V1" s="129"/>
    </row>
    <row r="2" ht="18.75" customHeight="1">
      <c r="A2" s="130" t="s">
        <v>79</v>
      </c>
      <c r="B2" s="131"/>
      <c r="C2" s="132"/>
      <c r="D2" s="133" t="s">
        <v>80</v>
      </c>
      <c r="E2" s="124"/>
      <c r="F2" s="124"/>
      <c r="G2" s="124"/>
      <c r="H2" s="124"/>
      <c r="I2" s="124"/>
      <c r="J2" s="124"/>
      <c r="K2" s="124"/>
      <c r="L2" s="124"/>
      <c r="M2" s="124"/>
      <c r="N2" s="124"/>
      <c r="O2" s="124"/>
      <c r="P2" s="124"/>
      <c r="Q2" s="124"/>
      <c r="R2" s="124"/>
      <c r="S2" s="124"/>
      <c r="T2" s="124"/>
      <c r="U2" s="124"/>
      <c r="V2" s="20"/>
    </row>
    <row r="3" ht="18.75" customHeight="1">
      <c r="A3" s="134" t="s">
        <v>81</v>
      </c>
      <c r="C3" s="135"/>
      <c r="D3" s="43"/>
      <c r="V3" s="44"/>
    </row>
    <row r="4" ht="18.75" customHeight="1">
      <c r="C4" s="135"/>
      <c r="D4" s="136" t="s">
        <v>82</v>
      </c>
      <c r="E4" s="16"/>
      <c r="F4" s="16"/>
      <c r="G4" s="16"/>
      <c r="H4" s="16"/>
      <c r="I4" s="136" t="s">
        <v>83</v>
      </c>
      <c r="J4" s="16"/>
      <c r="K4" s="16"/>
      <c r="L4" s="16"/>
      <c r="M4" s="17"/>
      <c r="N4" s="137"/>
      <c r="O4" s="137" t="s">
        <v>84</v>
      </c>
      <c r="P4" s="137"/>
      <c r="Q4" s="136" t="s">
        <v>85</v>
      </c>
      <c r="R4" s="16"/>
      <c r="S4" s="16"/>
      <c r="T4" s="16"/>
      <c r="U4" s="17"/>
      <c r="V4" s="138"/>
    </row>
    <row r="5" ht="18.75" customHeight="1">
      <c r="A5" s="139" t="s">
        <v>86</v>
      </c>
      <c r="B5" s="140" t="s">
        <v>87</v>
      </c>
      <c r="C5" s="141" t="s">
        <v>88</v>
      </c>
      <c r="D5" s="142" t="str">
        <f>HYPERLINK("https://reddit.com/r/RMTK/comments/ibbb4t", "M0230")</f>
        <v>M0230</v>
      </c>
      <c r="E5" s="142" t="str">
        <f>HYPERLINK("https://reddit.com/r/RMTK/comments/iby5lq", "M0231")</f>
        <v>M0231</v>
      </c>
      <c r="F5" s="142" t="str">
        <f>HYPERLINK("https://reddit.com/r/RMTK/comments/i8x6kl", "W0121")</f>
        <v>W0121</v>
      </c>
      <c r="G5" s="142" t="str">
        <f>HYPERLINK("https://reddit.com/r/RMTK/comments/ibzov8", "W0123-I")</f>
        <v>W0123-I</v>
      </c>
      <c r="H5" s="143" t="str">
        <f>HYPERLINK("https://reddit.com/r/RMTK/comments/i8b10u", "W0124")</f>
        <v>W0124</v>
      </c>
      <c r="I5" s="144" t="str">
        <f>HYPERLINK("https://reddit.com/r/RMTK/comments/ifm6xl", "M0232")</f>
        <v>M0232</v>
      </c>
      <c r="J5" s="142" t="str">
        <f>HYPERLINK("https://reddit.com/r/RMTK/comments/i5b4d5", "W0123")</f>
        <v>W0123</v>
      </c>
      <c r="K5" s="142" t="str">
        <f>HYPERLINK("https://reddit.com/r/RMTK/comments/ickt5u", "W0125")</f>
        <v>W0125</v>
      </c>
      <c r="L5" s="142" t="str">
        <f>HYPERLINK("https://reddit.com/r/RMTK/comments/id7iyi", "W0126")</f>
        <v>W0126</v>
      </c>
      <c r="M5" s="143" t="str">
        <f>HYPERLINK("https://reddit.com/r/RMTK/comments/ig98vn", "W0127")</f>
        <v>W0127</v>
      </c>
      <c r="N5" s="144" t="str">
        <f>HYPERLINK("https://reddit.com/r/RMTK/comments/ii4d8m", "M0233")</f>
        <v>M0233</v>
      </c>
      <c r="O5" s="142" t="str">
        <f>HYPERLINK("https://reddit.com/r/RMTK/comments/igw52q", "W0128")</f>
        <v>W0128</v>
      </c>
      <c r="P5" s="142" t="str">
        <f>HYPERLINK("https://reddit.com/r/RMTK/comments/ikhimi", "W0130")</f>
        <v>W0130</v>
      </c>
      <c r="Q5" s="142" t="str">
        <f>HYPERLINK("https://reddit.com/r/RMTK/comments/il3zoe", "M0234")</f>
        <v>M0234</v>
      </c>
      <c r="R5" s="142" t="str">
        <f>HYPERLINK("https://reddit.com/r/RMTK/comments/io67hp", "W0129-I")</f>
        <v>W0129-I</v>
      </c>
      <c r="S5" s="142" t="str">
        <f>HYPERLINK("https://reddit.com/r/RMTK/comments/io8ziy", "W0129-II")</f>
        <v>W0129-II</v>
      </c>
      <c r="T5" s="142" t="str">
        <f>HYPERLINK("https://reddit.com/r/RMTK/comments/ilql8h", "W0131")</f>
        <v>W0131</v>
      </c>
      <c r="U5" s="142" t="str">
        <f>HYPERLINK("https://reddit.com/r/RMTK/comments/ioqvti", "W0134")</f>
        <v>W0134</v>
      </c>
      <c r="V5" s="144"/>
    </row>
    <row r="6" ht="9.0" customHeight="1">
      <c r="A6" s="145"/>
      <c r="B6" s="146"/>
      <c r="C6" s="146"/>
      <c r="D6" s="147"/>
      <c r="E6" s="16"/>
      <c r="F6" s="16"/>
      <c r="G6" s="16"/>
      <c r="H6" s="17"/>
      <c r="I6" s="146"/>
      <c r="J6" s="146"/>
      <c r="K6" s="146"/>
      <c r="L6" s="146"/>
      <c r="M6" s="148"/>
      <c r="N6" s="146"/>
      <c r="O6" s="146"/>
      <c r="P6" s="148"/>
      <c r="Q6" s="146"/>
      <c r="R6" s="146"/>
      <c r="S6" s="146"/>
      <c r="T6" s="146"/>
      <c r="U6" s="148"/>
      <c r="V6" s="146"/>
    </row>
    <row r="7" ht="18.75" customHeight="1">
      <c r="A7" s="149" t="s">
        <v>89</v>
      </c>
      <c r="B7" s="150" t="s">
        <v>15</v>
      </c>
      <c r="C7" s="151" t="s">
        <v>90</v>
      </c>
      <c r="D7" s="152" t="s">
        <v>91</v>
      </c>
      <c r="E7" s="153" t="s">
        <v>91</v>
      </c>
      <c r="F7" s="153" t="s">
        <v>91</v>
      </c>
      <c r="G7" s="153" t="s">
        <v>91</v>
      </c>
      <c r="H7" s="154" t="s">
        <v>91</v>
      </c>
      <c r="I7" s="152" t="s">
        <v>91</v>
      </c>
      <c r="J7" s="155" t="s">
        <v>91</v>
      </c>
      <c r="K7" s="155" t="s">
        <v>92</v>
      </c>
      <c r="L7" s="155" t="s">
        <v>91</v>
      </c>
      <c r="M7" s="154" t="s">
        <v>91</v>
      </c>
      <c r="N7" s="155" t="s">
        <v>91</v>
      </c>
      <c r="O7" s="155" t="s">
        <v>92</v>
      </c>
      <c r="P7" s="154" t="s">
        <v>92</v>
      </c>
      <c r="Q7" s="156" t="s">
        <v>91</v>
      </c>
      <c r="R7" s="153" t="s">
        <v>91</v>
      </c>
      <c r="S7" s="156" t="s">
        <v>91</v>
      </c>
      <c r="T7" s="153" t="s">
        <v>91</v>
      </c>
      <c r="U7" s="157" t="s">
        <v>92</v>
      </c>
      <c r="V7" s="156" t="s">
        <v>93</v>
      </c>
    </row>
    <row r="8" ht="18.75" customHeight="1">
      <c r="A8" s="158"/>
      <c r="B8" s="135"/>
      <c r="C8" s="159" t="s">
        <v>94</v>
      </c>
      <c r="D8" s="152" t="s">
        <v>91</v>
      </c>
      <c r="E8" s="153" t="s">
        <v>91</v>
      </c>
      <c r="F8" s="153" t="s">
        <v>92</v>
      </c>
      <c r="G8" s="153" t="s">
        <v>91</v>
      </c>
      <c r="H8" s="154" t="s">
        <v>91</v>
      </c>
      <c r="I8" s="152" t="s">
        <v>91</v>
      </c>
      <c r="J8" s="155" t="s">
        <v>91</v>
      </c>
      <c r="K8" s="155" t="s">
        <v>92</v>
      </c>
      <c r="L8" s="155" t="s">
        <v>91</v>
      </c>
      <c r="M8" s="154" t="s">
        <v>91</v>
      </c>
      <c r="N8" s="155" t="s">
        <v>91</v>
      </c>
      <c r="O8" s="155" t="s">
        <v>92</v>
      </c>
      <c r="P8" s="154" t="s">
        <v>92</v>
      </c>
      <c r="Q8" s="156" t="s">
        <v>91</v>
      </c>
      <c r="R8" s="153" t="s">
        <v>91</v>
      </c>
      <c r="S8" s="156" t="s">
        <v>91</v>
      </c>
      <c r="T8" s="153" t="s">
        <v>91</v>
      </c>
      <c r="U8" s="157" t="s">
        <v>92</v>
      </c>
      <c r="V8" s="156" t="s">
        <v>93</v>
      </c>
    </row>
    <row r="9" ht="18.75" customHeight="1">
      <c r="A9" s="158"/>
      <c r="B9" s="135"/>
      <c r="C9" s="159" t="s">
        <v>95</v>
      </c>
      <c r="D9" s="152" t="s">
        <v>91</v>
      </c>
      <c r="E9" s="153" t="s">
        <v>91</v>
      </c>
      <c r="F9" s="153" t="s">
        <v>91</v>
      </c>
      <c r="G9" s="153" t="s">
        <v>91</v>
      </c>
      <c r="H9" s="154" t="s">
        <v>91</v>
      </c>
      <c r="I9" s="152" t="s">
        <v>91</v>
      </c>
      <c r="J9" s="155" t="s">
        <v>91</v>
      </c>
      <c r="K9" s="155" t="s">
        <v>92</v>
      </c>
      <c r="L9" s="155" t="s">
        <v>91</v>
      </c>
      <c r="M9" s="154" t="s">
        <v>91</v>
      </c>
      <c r="N9" s="155" t="s">
        <v>91</v>
      </c>
      <c r="O9" s="155" t="s">
        <v>92</v>
      </c>
      <c r="P9" s="154" t="s">
        <v>92</v>
      </c>
      <c r="Q9" s="156" t="s">
        <v>91</v>
      </c>
      <c r="R9" s="153" t="s">
        <v>91</v>
      </c>
      <c r="S9" s="156" t="s">
        <v>91</v>
      </c>
      <c r="T9" s="153" t="s">
        <v>91</v>
      </c>
      <c r="U9" s="157" t="s">
        <v>92</v>
      </c>
      <c r="V9" s="156" t="s">
        <v>93</v>
      </c>
    </row>
    <row r="10" ht="18.75" customHeight="1">
      <c r="A10" s="158"/>
      <c r="B10" s="135"/>
      <c r="C10" s="159" t="s">
        <v>96</v>
      </c>
      <c r="D10" s="152" t="s">
        <v>91</v>
      </c>
      <c r="E10" s="153" t="s">
        <v>91</v>
      </c>
      <c r="F10" s="153" t="s">
        <v>92</v>
      </c>
      <c r="G10" s="153" t="s">
        <v>91</v>
      </c>
      <c r="H10" s="154" t="s">
        <v>92</v>
      </c>
      <c r="I10" s="152" t="s">
        <v>92</v>
      </c>
      <c r="J10" s="155" t="s">
        <v>91</v>
      </c>
      <c r="K10" s="155" t="s">
        <v>92</v>
      </c>
      <c r="L10" s="155" t="s">
        <v>91</v>
      </c>
      <c r="M10" s="154" t="s">
        <v>91</v>
      </c>
      <c r="N10" s="155" t="s">
        <v>91</v>
      </c>
      <c r="O10" s="155" t="s">
        <v>91</v>
      </c>
      <c r="P10" s="154" t="s">
        <v>91</v>
      </c>
      <c r="Q10" s="156" t="s">
        <v>91</v>
      </c>
      <c r="R10" s="153" t="s">
        <v>91</v>
      </c>
      <c r="S10" s="156" t="s">
        <v>91</v>
      </c>
      <c r="T10" s="153" t="s">
        <v>91</v>
      </c>
      <c r="U10" s="157" t="s">
        <v>92</v>
      </c>
      <c r="V10" s="156" t="s">
        <v>93</v>
      </c>
    </row>
    <row r="11" ht="18.75" customHeight="1">
      <c r="A11" s="158"/>
      <c r="B11" s="135"/>
      <c r="C11" s="159" t="s">
        <v>97</v>
      </c>
      <c r="D11" s="152" t="s">
        <v>91</v>
      </c>
      <c r="E11" s="153" t="s">
        <v>91</v>
      </c>
      <c r="F11" s="153" t="s">
        <v>92</v>
      </c>
      <c r="G11" s="153" t="s">
        <v>91</v>
      </c>
      <c r="H11" s="154" t="s">
        <v>91</v>
      </c>
      <c r="I11" s="152" t="s">
        <v>91</v>
      </c>
      <c r="J11" s="155" t="s">
        <v>91</v>
      </c>
      <c r="K11" s="155" t="s">
        <v>92</v>
      </c>
      <c r="L11" s="155" t="s">
        <v>91</v>
      </c>
      <c r="M11" s="154" t="s">
        <v>91</v>
      </c>
      <c r="N11" s="155" t="s">
        <v>91</v>
      </c>
      <c r="O11" s="155" t="s">
        <v>92</v>
      </c>
      <c r="P11" s="154" t="s">
        <v>92</v>
      </c>
      <c r="Q11" s="156" t="s">
        <v>91</v>
      </c>
      <c r="R11" s="153" t="s">
        <v>91</v>
      </c>
      <c r="S11" s="156" t="s">
        <v>91</v>
      </c>
      <c r="T11" s="153" t="s">
        <v>91</v>
      </c>
      <c r="U11" s="157" t="s">
        <v>92</v>
      </c>
      <c r="V11" s="156" t="s">
        <v>93</v>
      </c>
    </row>
    <row r="12" ht="18.75" customHeight="1">
      <c r="A12" s="158"/>
      <c r="B12" s="135"/>
      <c r="C12" s="159" t="s">
        <v>98</v>
      </c>
      <c r="D12" s="152" t="s">
        <v>91</v>
      </c>
      <c r="E12" s="153" t="s">
        <v>91</v>
      </c>
      <c r="F12" s="153" t="s">
        <v>92</v>
      </c>
      <c r="G12" s="153" t="s">
        <v>91</v>
      </c>
      <c r="H12" s="154" t="s">
        <v>91</v>
      </c>
      <c r="I12" s="152" t="s">
        <v>91</v>
      </c>
      <c r="J12" s="155" t="s">
        <v>91</v>
      </c>
      <c r="K12" s="155" t="s">
        <v>92</v>
      </c>
      <c r="L12" s="155" t="s">
        <v>91</v>
      </c>
      <c r="M12" s="154" t="s">
        <v>91</v>
      </c>
      <c r="N12" s="155" t="s">
        <v>91</v>
      </c>
      <c r="O12" s="155" t="s">
        <v>92</v>
      </c>
      <c r="P12" s="154" t="s">
        <v>92</v>
      </c>
      <c r="Q12" s="156" t="s">
        <v>91</v>
      </c>
      <c r="R12" s="153" t="s">
        <v>91</v>
      </c>
      <c r="S12" s="156" t="s">
        <v>91</v>
      </c>
      <c r="T12" s="153" t="s">
        <v>91</v>
      </c>
      <c r="U12" s="157" t="s">
        <v>92</v>
      </c>
      <c r="V12" s="156" t="s">
        <v>93</v>
      </c>
    </row>
    <row r="13" ht="18.75" customHeight="1">
      <c r="A13" s="158"/>
      <c r="B13" s="135"/>
      <c r="C13" s="159" t="s">
        <v>99</v>
      </c>
      <c r="D13" s="152" t="s">
        <v>91</v>
      </c>
      <c r="E13" s="153" t="s">
        <v>91</v>
      </c>
      <c r="F13" s="153" t="s">
        <v>91</v>
      </c>
      <c r="G13" s="153" t="s">
        <v>91</v>
      </c>
      <c r="H13" s="154" t="s">
        <v>91</v>
      </c>
      <c r="I13" s="152" t="s">
        <v>91</v>
      </c>
      <c r="J13" s="155" t="s">
        <v>91</v>
      </c>
      <c r="K13" s="155" t="s">
        <v>92</v>
      </c>
      <c r="L13" s="155" t="s">
        <v>91</v>
      </c>
      <c r="M13" s="154" t="s">
        <v>91</v>
      </c>
      <c r="N13" s="155" t="s">
        <v>91</v>
      </c>
      <c r="O13" s="155" t="s">
        <v>92</v>
      </c>
      <c r="P13" s="154" t="s">
        <v>92</v>
      </c>
      <c r="Q13" s="156" t="s">
        <v>91</v>
      </c>
      <c r="R13" s="153" t="s">
        <v>91</v>
      </c>
      <c r="S13" s="156" t="s">
        <v>91</v>
      </c>
      <c r="T13" s="153" t="s">
        <v>91</v>
      </c>
      <c r="U13" s="157" t="s">
        <v>92</v>
      </c>
      <c r="V13" s="156" t="s">
        <v>93</v>
      </c>
    </row>
    <row r="14" ht="18.75" customHeight="1">
      <c r="A14" s="158"/>
      <c r="B14" s="160" t="s">
        <v>36</v>
      </c>
      <c r="C14" s="161" t="s">
        <v>100</v>
      </c>
      <c r="D14" s="152" t="s">
        <v>92</v>
      </c>
      <c r="E14" s="153" t="s">
        <v>91</v>
      </c>
      <c r="F14" s="153" t="s">
        <v>92</v>
      </c>
      <c r="G14" s="153" t="s">
        <v>91</v>
      </c>
      <c r="H14" s="154" t="s">
        <v>91</v>
      </c>
      <c r="I14" s="152" t="s">
        <v>91</v>
      </c>
      <c r="J14" s="155" t="s">
        <v>91</v>
      </c>
      <c r="K14" s="155" t="s">
        <v>91</v>
      </c>
      <c r="L14" s="155" t="s">
        <v>91</v>
      </c>
      <c r="M14" s="154" t="s">
        <v>92</v>
      </c>
      <c r="N14" s="155" t="s">
        <v>91</v>
      </c>
      <c r="O14" s="155" t="s">
        <v>91</v>
      </c>
      <c r="P14" s="154" t="s">
        <v>92</v>
      </c>
      <c r="Q14" s="156" t="s">
        <v>91</v>
      </c>
      <c r="R14" s="153" t="s">
        <v>92</v>
      </c>
      <c r="S14" s="156" t="s">
        <v>91</v>
      </c>
      <c r="T14" s="153" t="s">
        <v>91</v>
      </c>
      <c r="U14" s="157" t="s">
        <v>92</v>
      </c>
      <c r="V14" s="156" t="s">
        <v>93</v>
      </c>
    </row>
    <row r="15" ht="18.75" customHeight="1">
      <c r="A15" s="158"/>
      <c r="B15" s="135"/>
      <c r="C15" s="162" t="s">
        <v>37</v>
      </c>
      <c r="D15" s="152" t="s">
        <v>92</v>
      </c>
      <c r="E15" s="153" t="s">
        <v>91</v>
      </c>
      <c r="F15" s="153" t="s">
        <v>92</v>
      </c>
      <c r="G15" s="153" t="s">
        <v>91</v>
      </c>
      <c r="H15" s="154" t="s">
        <v>91</v>
      </c>
      <c r="I15" s="152" t="s">
        <v>91</v>
      </c>
      <c r="J15" s="155" t="s">
        <v>91</v>
      </c>
      <c r="K15" s="155" t="s">
        <v>91</v>
      </c>
      <c r="L15" s="155" t="s">
        <v>91</v>
      </c>
      <c r="M15" s="154" t="s">
        <v>92</v>
      </c>
      <c r="N15" s="155" t="s">
        <v>91</v>
      </c>
      <c r="O15" s="155" t="s">
        <v>92</v>
      </c>
      <c r="P15" s="154" t="s">
        <v>92</v>
      </c>
      <c r="Q15" s="156" t="s">
        <v>91</v>
      </c>
      <c r="R15" s="153" t="s">
        <v>92</v>
      </c>
      <c r="S15" s="156" t="s">
        <v>91</v>
      </c>
      <c r="T15" s="153" t="s">
        <v>91</v>
      </c>
      <c r="U15" s="157" t="s">
        <v>92</v>
      </c>
      <c r="V15" s="156" t="s">
        <v>93</v>
      </c>
    </row>
    <row r="16" ht="18.75" customHeight="1">
      <c r="A16" s="158"/>
      <c r="B16" s="135"/>
      <c r="C16" s="162" t="s">
        <v>101</v>
      </c>
      <c r="D16" s="152" t="s">
        <v>92</v>
      </c>
      <c r="E16" s="153" t="s">
        <v>91</v>
      </c>
      <c r="F16" s="153" t="s">
        <v>92</v>
      </c>
      <c r="G16" s="153" t="s">
        <v>91</v>
      </c>
      <c r="H16" s="154" t="s">
        <v>91</v>
      </c>
      <c r="I16" s="152" t="s">
        <v>92</v>
      </c>
      <c r="J16" s="155" t="s">
        <v>91</v>
      </c>
      <c r="K16" s="155" t="s">
        <v>91</v>
      </c>
      <c r="L16" s="155" t="s">
        <v>91</v>
      </c>
      <c r="M16" s="154" t="s">
        <v>92</v>
      </c>
      <c r="N16" s="155" t="s">
        <v>91</v>
      </c>
      <c r="O16" s="155" t="s">
        <v>91</v>
      </c>
      <c r="P16" s="154" t="s">
        <v>91</v>
      </c>
      <c r="Q16" s="156" t="s">
        <v>93</v>
      </c>
      <c r="R16" s="153" t="s">
        <v>93</v>
      </c>
      <c r="S16" s="156" t="s">
        <v>93</v>
      </c>
      <c r="T16" s="153" t="s">
        <v>93</v>
      </c>
      <c r="U16" s="157" t="s">
        <v>93</v>
      </c>
      <c r="V16" s="156" t="s">
        <v>93</v>
      </c>
    </row>
    <row r="17" ht="18.75" customHeight="1">
      <c r="A17" s="158"/>
      <c r="B17" s="135"/>
      <c r="C17" s="162" t="s">
        <v>102</v>
      </c>
      <c r="D17" s="152" t="s">
        <v>93</v>
      </c>
      <c r="E17" s="155" t="s">
        <v>93</v>
      </c>
      <c r="F17" s="155" t="s">
        <v>93</v>
      </c>
      <c r="G17" s="155" t="s">
        <v>93</v>
      </c>
      <c r="H17" s="154" t="s">
        <v>93</v>
      </c>
      <c r="I17" s="163" t="s">
        <v>91</v>
      </c>
      <c r="J17" s="164" t="s">
        <v>91</v>
      </c>
      <c r="K17" s="164" t="s">
        <v>91</v>
      </c>
      <c r="L17" s="164" t="s">
        <v>91</v>
      </c>
      <c r="M17" s="165" t="s">
        <v>92</v>
      </c>
      <c r="N17" s="155" t="s">
        <v>93</v>
      </c>
      <c r="O17" s="155" t="s">
        <v>93</v>
      </c>
      <c r="P17" s="154" t="s">
        <v>93</v>
      </c>
      <c r="Q17" s="156" t="s">
        <v>93</v>
      </c>
      <c r="R17" s="153" t="s">
        <v>93</v>
      </c>
      <c r="S17" s="156" t="s">
        <v>93</v>
      </c>
      <c r="T17" s="153" t="s">
        <v>93</v>
      </c>
      <c r="U17" s="157" t="s">
        <v>93</v>
      </c>
      <c r="V17" s="156" t="s">
        <v>93</v>
      </c>
    </row>
    <row r="18" ht="18.75" customHeight="1">
      <c r="A18" s="158"/>
      <c r="B18" s="166" t="s">
        <v>47</v>
      </c>
      <c r="C18" s="167" t="s">
        <v>103</v>
      </c>
      <c r="D18" s="152" t="s">
        <v>92</v>
      </c>
      <c r="E18" s="153" t="s">
        <v>92</v>
      </c>
      <c r="F18" s="153" t="s">
        <v>91</v>
      </c>
      <c r="G18" s="153" t="s">
        <v>91</v>
      </c>
      <c r="H18" s="154" t="s">
        <v>91</v>
      </c>
      <c r="I18" s="163" t="s">
        <v>91</v>
      </c>
      <c r="J18" s="164" t="s">
        <v>91</v>
      </c>
      <c r="K18" s="164" t="s">
        <v>91</v>
      </c>
      <c r="L18" s="164" t="s">
        <v>91</v>
      </c>
      <c r="M18" s="165" t="s">
        <v>92</v>
      </c>
      <c r="N18" s="155" t="s">
        <v>93</v>
      </c>
      <c r="O18" s="155" t="s">
        <v>93</v>
      </c>
      <c r="P18" s="154" t="s">
        <v>93</v>
      </c>
      <c r="Q18" s="156" t="s">
        <v>91</v>
      </c>
      <c r="R18" s="153" t="s">
        <v>91</v>
      </c>
      <c r="S18" s="156" t="s">
        <v>91</v>
      </c>
      <c r="T18" s="153" t="s">
        <v>91</v>
      </c>
      <c r="U18" s="157" t="s">
        <v>92</v>
      </c>
      <c r="V18" s="156" t="s">
        <v>93</v>
      </c>
    </row>
    <row r="19" ht="18.75" customHeight="1">
      <c r="A19" s="168"/>
      <c r="B19" s="135"/>
      <c r="C19" s="169" t="s">
        <v>104</v>
      </c>
      <c r="D19" s="152" t="s">
        <v>92</v>
      </c>
      <c r="E19" s="153" t="s">
        <v>91</v>
      </c>
      <c r="F19" s="153" t="s">
        <v>91</v>
      </c>
      <c r="G19" s="153" t="s">
        <v>91</v>
      </c>
      <c r="H19" s="154" t="s">
        <v>91</v>
      </c>
      <c r="I19" s="152" t="s">
        <v>92</v>
      </c>
      <c r="J19" s="155" t="s">
        <v>91</v>
      </c>
      <c r="K19" s="155" t="s">
        <v>91</v>
      </c>
      <c r="L19" s="155" t="s">
        <v>91</v>
      </c>
      <c r="M19" s="154" t="s">
        <v>92</v>
      </c>
      <c r="N19" s="155" t="s">
        <v>93</v>
      </c>
      <c r="O19" s="155" t="s">
        <v>93</v>
      </c>
      <c r="P19" s="154" t="s">
        <v>93</v>
      </c>
      <c r="Q19" s="156" t="s">
        <v>91</v>
      </c>
      <c r="R19" s="153" t="s">
        <v>91</v>
      </c>
      <c r="S19" s="156" t="s">
        <v>91</v>
      </c>
      <c r="T19" s="153" t="s">
        <v>91</v>
      </c>
      <c r="U19" s="157" t="s">
        <v>92</v>
      </c>
      <c r="V19" s="156" t="s">
        <v>93</v>
      </c>
    </row>
    <row r="20" ht="9.75" customHeight="1">
      <c r="A20" s="170"/>
      <c r="B20" s="171"/>
      <c r="C20" s="172"/>
      <c r="D20" s="173" t="str">
        <f t="shared" ref="D20:U20" si="1">LINKURL(D5)</f>
        <v>https://reddit.com/r/RMTK/comments/ibbb4t</v>
      </c>
      <c r="E20" s="173" t="str">
        <f t="shared" si="1"/>
        <v>https://reddit.com/r/RMTK/comments/iby5lq</v>
      </c>
      <c r="F20" s="173" t="str">
        <f t="shared" si="1"/>
        <v>https://reddit.com/r/RMTK/comments/i8x6kl</v>
      </c>
      <c r="G20" s="173" t="str">
        <f t="shared" si="1"/>
        <v>https://reddit.com/r/RMTK/comments/ibzov8</v>
      </c>
      <c r="H20" s="174" t="str">
        <f t="shared" si="1"/>
        <v>https://reddit.com/r/RMTK/comments/i8b10u</v>
      </c>
      <c r="I20" s="173" t="str">
        <f t="shared" si="1"/>
        <v>https://reddit.com/r/RMTK/comments/ifm6xl</v>
      </c>
      <c r="J20" s="173" t="str">
        <f t="shared" si="1"/>
        <v>https://reddit.com/r/RMTK/comments/i5b4d5</v>
      </c>
      <c r="K20" s="173" t="str">
        <f t="shared" si="1"/>
        <v>https://reddit.com/r/RMTK/comments/ickt5u</v>
      </c>
      <c r="L20" s="173" t="str">
        <f t="shared" si="1"/>
        <v>https://reddit.com/r/RMTK/comments/id7iyi</v>
      </c>
      <c r="M20" s="174" t="str">
        <f t="shared" si="1"/>
        <v>https://reddit.com/r/RMTK/comments/ig98vn</v>
      </c>
      <c r="N20" s="173" t="str">
        <f t="shared" si="1"/>
        <v>https://reddit.com/r/RMTK/comments/ii4d8m</v>
      </c>
      <c r="O20" s="173" t="str">
        <f t="shared" si="1"/>
        <v>https://reddit.com/r/RMTK/comments/igw52q</v>
      </c>
      <c r="P20" s="174" t="str">
        <f t="shared" si="1"/>
        <v>https://reddit.com/r/RMTK/comments/ikhimi</v>
      </c>
      <c r="Q20" s="173" t="str">
        <f t="shared" si="1"/>
        <v>https://reddit.com/r/RMTK/comments/il3zoe</v>
      </c>
      <c r="R20" s="173" t="str">
        <f t="shared" si="1"/>
        <v>https://reddit.com/r/RMTK/comments/io67hp</v>
      </c>
      <c r="S20" s="173" t="str">
        <f t="shared" si="1"/>
        <v>https://reddit.com/r/RMTK/comments/io8ziy</v>
      </c>
      <c r="T20" s="173" t="str">
        <f t="shared" si="1"/>
        <v>https://reddit.com/r/RMTK/comments/ilql8h</v>
      </c>
      <c r="U20" s="173" t="str">
        <f t="shared" si="1"/>
        <v>https://reddit.com/r/RMTK/comments/ioqvti</v>
      </c>
      <c r="V20" s="175"/>
    </row>
    <row r="21" ht="18.75" customHeight="1">
      <c r="A21" s="176" t="s">
        <v>105</v>
      </c>
      <c r="B21" s="177" t="s">
        <v>24</v>
      </c>
      <c r="C21" s="178" t="s">
        <v>106</v>
      </c>
      <c r="D21" s="152" t="s">
        <v>91</v>
      </c>
      <c r="E21" s="153" t="s">
        <v>91</v>
      </c>
      <c r="F21" s="153" t="s">
        <v>91</v>
      </c>
      <c r="G21" s="153" t="s">
        <v>91</v>
      </c>
      <c r="H21" s="154" t="s">
        <v>91</v>
      </c>
      <c r="I21" s="152" t="s">
        <v>91</v>
      </c>
      <c r="J21" s="153" t="s">
        <v>91</v>
      </c>
      <c r="K21" s="153" t="s">
        <v>91</v>
      </c>
      <c r="L21" s="153" t="s">
        <v>91</v>
      </c>
      <c r="M21" s="154" t="s">
        <v>91</v>
      </c>
      <c r="N21" s="155" t="s">
        <v>91</v>
      </c>
      <c r="O21" s="155" t="s">
        <v>92</v>
      </c>
      <c r="P21" s="154" t="s">
        <v>92</v>
      </c>
      <c r="Q21" s="156" t="s">
        <v>91</v>
      </c>
      <c r="R21" s="153" t="s">
        <v>92</v>
      </c>
      <c r="S21" s="156" t="s">
        <v>92</v>
      </c>
      <c r="T21" s="153" t="s">
        <v>91</v>
      </c>
      <c r="U21" s="157" t="s">
        <v>91</v>
      </c>
      <c r="V21" s="156" t="s">
        <v>93</v>
      </c>
    </row>
    <row r="22" ht="18.75" customHeight="1">
      <c r="A22" s="158"/>
      <c r="B22" s="135"/>
      <c r="C22" s="179" t="s">
        <v>107</v>
      </c>
      <c r="D22" s="152" t="s">
        <v>92</v>
      </c>
      <c r="E22" s="153" t="s">
        <v>91</v>
      </c>
      <c r="F22" s="153" t="s">
        <v>91</v>
      </c>
      <c r="G22" s="153" t="s">
        <v>91</v>
      </c>
      <c r="H22" s="154" t="s">
        <v>91</v>
      </c>
      <c r="I22" s="152" t="s">
        <v>91</v>
      </c>
      <c r="J22" s="153" t="s">
        <v>91</v>
      </c>
      <c r="K22" s="153" t="s">
        <v>91</v>
      </c>
      <c r="L22" s="153" t="s">
        <v>91</v>
      </c>
      <c r="M22" s="154" t="s">
        <v>91</v>
      </c>
      <c r="N22" s="155" t="s">
        <v>91</v>
      </c>
      <c r="O22" s="155" t="s">
        <v>92</v>
      </c>
      <c r="P22" s="154" t="s">
        <v>92</v>
      </c>
      <c r="Q22" s="156" t="s">
        <v>91</v>
      </c>
      <c r="R22" s="153" t="s">
        <v>92</v>
      </c>
      <c r="S22" s="156" t="s">
        <v>92</v>
      </c>
      <c r="T22" s="153" t="s">
        <v>91</v>
      </c>
      <c r="U22" s="157" t="s">
        <v>91</v>
      </c>
      <c r="V22" s="156" t="s">
        <v>93</v>
      </c>
    </row>
    <row r="23" ht="18.75" customHeight="1">
      <c r="A23" s="158"/>
      <c r="B23" s="135"/>
      <c r="C23" s="179" t="s">
        <v>108</v>
      </c>
      <c r="D23" s="152" t="s">
        <v>91</v>
      </c>
      <c r="E23" s="153" t="s">
        <v>91</v>
      </c>
      <c r="F23" s="153" t="s">
        <v>91</v>
      </c>
      <c r="G23" s="153" t="s">
        <v>91</v>
      </c>
      <c r="H23" s="154" t="s">
        <v>91</v>
      </c>
      <c r="I23" s="152" t="s">
        <v>91</v>
      </c>
      <c r="J23" s="153" t="s">
        <v>91</v>
      </c>
      <c r="K23" s="153" t="s">
        <v>91</v>
      </c>
      <c r="L23" s="153" t="s">
        <v>91</v>
      </c>
      <c r="M23" s="154" t="s">
        <v>91</v>
      </c>
      <c r="N23" s="155" t="s">
        <v>91</v>
      </c>
      <c r="O23" s="155" t="s">
        <v>92</v>
      </c>
      <c r="P23" s="154" t="s">
        <v>91</v>
      </c>
      <c r="Q23" s="156" t="s">
        <v>91</v>
      </c>
      <c r="R23" s="153" t="s">
        <v>92</v>
      </c>
      <c r="S23" s="156" t="s">
        <v>92</v>
      </c>
      <c r="T23" s="153" t="s">
        <v>91</v>
      </c>
      <c r="U23" s="157" t="s">
        <v>92</v>
      </c>
      <c r="V23" s="156" t="s">
        <v>93</v>
      </c>
    </row>
    <row r="24" ht="18.75" customHeight="1">
      <c r="A24" s="158"/>
      <c r="B24" s="135"/>
      <c r="C24" s="179" t="s">
        <v>25</v>
      </c>
      <c r="D24" s="152" t="s">
        <v>91</v>
      </c>
      <c r="E24" s="153" t="s">
        <v>91</v>
      </c>
      <c r="F24" s="153" t="s">
        <v>91</v>
      </c>
      <c r="G24" s="153" t="s">
        <v>91</v>
      </c>
      <c r="H24" s="154" t="s">
        <v>91</v>
      </c>
      <c r="I24" s="152" t="s">
        <v>91</v>
      </c>
      <c r="J24" s="153" t="s">
        <v>91</v>
      </c>
      <c r="K24" s="153" t="s">
        <v>91</v>
      </c>
      <c r="L24" s="153" t="s">
        <v>91</v>
      </c>
      <c r="M24" s="154" t="s">
        <v>91</v>
      </c>
      <c r="N24" s="155" t="s">
        <v>91</v>
      </c>
      <c r="O24" s="155" t="s">
        <v>92</v>
      </c>
      <c r="P24" s="154" t="s">
        <v>92</v>
      </c>
      <c r="Q24" s="156" t="s">
        <v>91</v>
      </c>
      <c r="R24" s="153" t="s">
        <v>92</v>
      </c>
      <c r="S24" s="156" t="s">
        <v>92</v>
      </c>
      <c r="T24" s="153" t="s">
        <v>91</v>
      </c>
      <c r="U24" s="157" t="s">
        <v>91</v>
      </c>
      <c r="V24" s="156" t="s">
        <v>93</v>
      </c>
    </row>
    <row r="25" ht="18.75" customHeight="1">
      <c r="A25" s="158"/>
      <c r="B25" s="135"/>
      <c r="C25" s="179" t="s">
        <v>109</v>
      </c>
      <c r="D25" s="152" t="s">
        <v>92</v>
      </c>
      <c r="E25" s="153" t="s">
        <v>91</v>
      </c>
      <c r="F25" s="153" t="s">
        <v>91</v>
      </c>
      <c r="G25" s="153" t="s">
        <v>91</v>
      </c>
      <c r="H25" s="154" t="s">
        <v>91</v>
      </c>
      <c r="I25" s="152" t="s">
        <v>91</v>
      </c>
      <c r="J25" s="153" t="s">
        <v>91</v>
      </c>
      <c r="K25" s="153" t="s">
        <v>91</v>
      </c>
      <c r="L25" s="153" t="s">
        <v>91</v>
      </c>
      <c r="M25" s="154" t="s">
        <v>91</v>
      </c>
      <c r="N25" s="155" t="s">
        <v>91</v>
      </c>
      <c r="O25" s="155" t="s">
        <v>92</v>
      </c>
      <c r="P25" s="154" t="s">
        <v>92</v>
      </c>
      <c r="Q25" s="156" t="s">
        <v>91</v>
      </c>
      <c r="R25" s="153" t="s">
        <v>92</v>
      </c>
      <c r="S25" s="156" t="s">
        <v>92</v>
      </c>
      <c r="T25" s="153" t="s">
        <v>91</v>
      </c>
      <c r="U25" s="157" t="s">
        <v>91</v>
      </c>
      <c r="V25" s="156" t="s">
        <v>93</v>
      </c>
    </row>
    <row r="26" ht="18.75" customHeight="1">
      <c r="A26" s="158"/>
      <c r="B26" s="135"/>
      <c r="C26" s="179" t="s">
        <v>110</v>
      </c>
      <c r="D26" s="152" t="s">
        <v>91</v>
      </c>
      <c r="E26" s="153" t="s">
        <v>91</v>
      </c>
      <c r="F26" s="153" t="s">
        <v>91</v>
      </c>
      <c r="G26" s="153" t="s">
        <v>91</v>
      </c>
      <c r="H26" s="154" t="s">
        <v>91</v>
      </c>
      <c r="I26" s="152" t="s">
        <v>92</v>
      </c>
      <c r="J26" s="155" t="s">
        <v>91</v>
      </c>
      <c r="K26" s="155" t="s">
        <v>92</v>
      </c>
      <c r="L26" s="155" t="s">
        <v>91</v>
      </c>
      <c r="M26" s="154" t="s">
        <v>92</v>
      </c>
      <c r="N26" s="155" t="s">
        <v>93</v>
      </c>
      <c r="O26" s="155" t="s">
        <v>93</v>
      </c>
      <c r="P26" s="154" t="s">
        <v>93</v>
      </c>
      <c r="Q26" s="156" t="s">
        <v>91</v>
      </c>
      <c r="R26" s="153" t="s">
        <v>92</v>
      </c>
      <c r="S26" s="156" t="s">
        <v>91</v>
      </c>
      <c r="T26" s="153" t="s">
        <v>91</v>
      </c>
      <c r="U26" s="157" t="s">
        <v>92</v>
      </c>
      <c r="V26" s="156" t="s">
        <v>93</v>
      </c>
    </row>
    <row r="27" ht="18.75" customHeight="1">
      <c r="A27" s="158"/>
      <c r="B27" s="180" t="s">
        <v>31</v>
      </c>
      <c r="C27" s="181" t="s">
        <v>32</v>
      </c>
      <c r="D27" s="152" t="s">
        <v>91</v>
      </c>
      <c r="E27" s="153" t="s">
        <v>91</v>
      </c>
      <c r="F27" s="153" t="s">
        <v>91</v>
      </c>
      <c r="G27" s="153" t="s">
        <v>91</v>
      </c>
      <c r="H27" s="154" t="s">
        <v>91</v>
      </c>
      <c r="I27" s="152" t="s">
        <v>91</v>
      </c>
      <c r="J27" s="153" t="s">
        <v>91</v>
      </c>
      <c r="K27" s="153" t="s">
        <v>91</v>
      </c>
      <c r="L27" s="153" t="s">
        <v>91</v>
      </c>
      <c r="M27" s="154" t="s">
        <v>91</v>
      </c>
      <c r="N27" s="155" t="s">
        <v>91</v>
      </c>
      <c r="O27" s="155" t="s">
        <v>92</v>
      </c>
      <c r="P27" s="154" t="s">
        <v>92</v>
      </c>
      <c r="Q27" s="156" t="s">
        <v>91</v>
      </c>
      <c r="R27" s="153" t="s">
        <v>92</v>
      </c>
      <c r="S27" s="156" t="s">
        <v>92</v>
      </c>
      <c r="T27" s="153" t="s">
        <v>91</v>
      </c>
      <c r="U27" s="157" t="s">
        <v>91</v>
      </c>
      <c r="V27" s="156" t="s">
        <v>93</v>
      </c>
    </row>
    <row r="28" ht="18.75" customHeight="1">
      <c r="A28" s="158"/>
      <c r="B28" s="135"/>
      <c r="C28" s="182" t="s">
        <v>111</v>
      </c>
      <c r="D28" s="152" t="s">
        <v>91</v>
      </c>
      <c r="E28" s="153" t="s">
        <v>91</v>
      </c>
      <c r="F28" s="153" t="s">
        <v>91</v>
      </c>
      <c r="G28" s="153" t="s">
        <v>91</v>
      </c>
      <c r="H28" s="154" t="s">
        <v>91</v>
      </c>
      <c r="I28" s="152" t="s">
        <v>91</v>
      </c>
      <c r="J28" s="153" t="s">
        <v>91</v>
      </c>
      <c r="K28" s="153" t="s">
        <v>91</v>
      </c>
      <c r="L28" s="153" t="s">
        <v>91</v>
      </c>
      <c r="M28" s="154" t="s">
        <v>91</v>
      </c>
      <c r="N28" s="155" t="s">
        <v>91</v>
      </c>
      <c r="O28" s="155" t="s">
        <v>92</v>
      </c>
      <c r="P28" s="154" t="s">
        <v>92</v>
      </c>
      <c r="Q28" s="156" t="s">
        <v>91</v>
      </c>
      <c r="R28" s="153" t="s">
        <v>92</v>
      </c>
      <c r="S28" s="156" t="s">
        <v>92</v>
      </c>
      <c r="T28" s="153" t="s">
        <v>91</v>
      </c>
      <c r="U28" s="157" t="s">
        <v>91</v>
      </c>
      <c r="V28" s="156" t="s">
        <v>93</v>
      </c>
    </row>
    <row r="29" ht="18.75" customHeight="1">
      <c r="A29" s="158"/>
      <c r="B29" s="135"/>
      <c r="C29" s="182" t="s">
        <v>112</v>
      </c>
      <c r="D29" s="152" t="s">
        <v>91</v>
      </c>
      <c r="E29" s="153" t="s">
        <v>91</v>
      </c>
      <c r="F29" s="153" t="s">
        <v>91</v>
      </c>
      <c r="G29" s="153" t="s">
        <v>91</v>
      </c>
      <c r="H29" s="154" t="s">
        <v>91</v>
      </c>
      <c r="I29" s="152" t="s">
        <v>91</v>
      </c>
      <c r="J29" s="153" t="s">
        <v>91</v>
      </c>
      <c r="K29" s="153" t="s">
        <v>91</v>
      </c>
      <c r="L29" s="153" t="s">
        <v>91</v>
      </c>
      <c r="M29" s="154" t="s">
        <v>91</v>
      </c>
      <c r="N29" s="155" t="s">
        <v>91</v>
      </c>
      <c r="O29" s="155" t="s">
        <v>92</v>
      </c>
      <c r="P29" s="154" t="s">
        <v>92</v>
      </c>
      <c r="Q29" s="156" t="s">
        <v>91</v>
      </c>
      <c r="R29" s="153" t="s">
        <v>92</v>
      </c>
      <c r="S29" s="156" t="s">
        <v>92</v>
      </c>
      <c r="T29" s="153" t="s">
        <v>91</v>
      </c>
      <c r="U29" s="157" t="s">
        <v>91</v>
      </c>
      <c r="V29" s="156" t="s">
        <v>93</v>
      </c>
    </row>
    <row r="30" ht="18.75" customHeight="1">
      <c r="A30" s="158"/>
      <c r="B30" s="135"/>
      <c r="C30" s="182" t="s">
        <v>113</v>
      </c>
      <c r="D30" s="152" t="s">
        <v>91</v>
      </c>
      <c r="E30" s="153" t="s">
        <v>91</v>
      </c>
      <c r="F30" s="153" t="s">
        <v>91</v>
      </c>
      <c r="G30" s="153" t="s">
        <v>91</v>
      </c>
      <c r="H30" s="154" t="s">
        <v>91</v>
      </c>
      <c r="I30" s="152" t="s">
        <v>91</v>
      </c>
      <c r="J30" s="153" t="s">
        <v>91</v>
      </c>
      <c r="K30" s="153" t="s">
        <v>91</v>
      </c>
      <c r="L30" s="153" t="s">
        <v>91</v>
      </c>
      <c r="M30" s="154" t="s">
        <v>91</v>
      </c>
      <c r="N30" s="155" t="s">
        <v>91</v>
      </c>
      <c r="O30" s="155" t="s">
        <v>92</v>
      </c>
      <c r="P30" s="154" t="s">
        <v>92</v>
      </c>
      <c r="Q30" s="156" t="s">
        <v>93</v>
      </c>
      <c r="R30" s="153" t="s">
        <v>93</v>
      </c>
      <c r="S30" s="156" t="s">
        <v>93</v>
      </c>
      <c r="T30" s="153" t="s">
        <v>93</v>
      </c>
      <c r="U30" s="157" t="s">
        <v>93</v>
      </c>
      <c r="V30" s="156" t="s">
        <v>93</v>
      </c>
    </row>
    <row r="31" ht="18.75" customHeight="1">
      <c r="A31" s="158"/>
      <c r="B31" s="135"/>
      <c r="C31" s="182" t="s">
        <v>114</v>
      </c>
      <c r="D31" s="152" t="s">
        <v>91</v>
      </c>
      <c r="E31" s="153" t="s">
        <v>91</v>
      </c>
      <c r="F31" s="153" t="s">
        <v>91</v>
      </c>
      <c r="G31" s="153" t="s">
        <v>91</v>
      </c>
      <c r="H31" s="154" t="s">
        <v>91</v>
      </c>
      <c r="I31" s="152" t="s">
        <v>91</v>
      </c>
      <c r="J31" s="153" t="s">
        <v>91</v>
      </c>
      <c r="K31" s="153" t="s">
        <v>91</v>
      </c>
      <c r="L31" s="153" t="s">
        <v>91</v>
      </c>
      <c r="M31" s="154" t="s">
        <v>91</v>
      </c>
      <c r="N31" s="155" t="s">
        <v>91</v>
      </c>
      <c r="O31" s="155" t="s">
        <v>92</v>
      </c>
      <c r="P31" s="154" t="s">
        <v>92</v>
      </c>
      <c r="Q31" s="156" t="s">
        <v>91</v>
      </c>
      <c r="R31" s="153" t="s">
        <v>92</v>
      </c>
      <c r="S31" s="156" t="s">
        <v>92</v>
      </c>
      <c r="T31" s="153" t="s">
        <v>91</v>
      </c>
      <c r="U31" s="157" t="s">
        <v>91</v>
      </c>
      <c r="V31" s="156" t="s">
        <v>93</v>
      </c>
    </row>
    <row r="32" ht="18.75" customHeight="1">
      <c r="A32" s="158"/>
      <c r="B32" s="183" t="s">
        <v>115</v>
      </c>
      <c r="C32" s="184" t="s">
        <v>116</v>
      </c>
      <c r="D32" s="152" t="s">
        <v>117</v>
      </c>
      <c r="E32" s="153" t="s">
        <v>117</v>
      </c>
      <c r="F32" s="153" t="s">
        <v>117</v>
      </c>
      <c r="G32" s="153" t="s">
        <v>117</v>
      </c>
      <c r="H32" s="154" t="s">
        <v>117</v>
      </c>
      <c r="I32" s="185" t="s">
        <v>118</v>
      </c>
      <c r="J32" s="186" t="s">
        <v>118</v>
      </c>
      <c r="K32" s="187" t="s">
        <v>118</v>
      </c>
      <c r="L32" s="186" t="s">
        <v>118</v>
      </c>
      <c r="M32" s="188" t="s">
        <v>118</v>
      </c>
      <c r="N32" s="189" t="s">
        <v>118</v>
      </c>
      <c r="O32" s="186" t="s">
        <v>118</v>
      </c>
      <c r="P32" s="190" t="s">
        <v>118</v>
      </c>
      <c r="Q32" s="187" t="s">
        <v>118</v>
      </c>
      <c r="R32" s="186" t="s">
        <v>118</v>
      </c>
      <c r="S32" s="187" t="s">
        <v>118</v>
      </c>
      <c r="T32" s="186" t="s">
        <v>118</v>
      </c>
      <c r="U32" s="188" t="s">
        <v>118</v>
      </c>
      <c r="V32" s="187" t="s">
        <v>118</v>
      </c>
    </row>
    <row r="33" ht="18.75" customHeight="1">
      <c r="A33" s="191"/>
      <c r="B33" s="192" t="s">
        <v>53</v>
      </c>
      <c r="C33" s="193" t="s">
        <v>116</v>
      </c>
      <c r="D33" s="152" t="s">
        <v>118</v>
      </c>
      <c r="E33" s="153" t="s">
        <v>118</v>
      </c>
      <c r="F33" s="156" t="s">
        <v>118</v>
      </c>
      <c r="G33" s="153" t="s">
        <v>118</v>
      </c>
      <c r="H33" s="188" t="s">
        <v>118</v>
      </c>
      <c r="I33" s="152" t="s">
        <v>92</v>
      </c>
      <c r="J33" s="155" t="s">
        <v>91</v>
      </c>
      <c r="K33" s="155" t="s">
        <v>92</v>
      </c>
      <c r="L33" s="155" t="s">
        <v>91</v>
      </c>
      <c r="M33" s="154" t="s">
        <v>91</v>
      </c>
      <c r="N33" s="155" t="s">
        <v>91</v>
      </c>
      <c r="O33" s="155" t="s">
        <v>91</v>
      </c>
      <c r="P33" s="154" t="s">
        <v>92</v>
      </c>
      <c r="Q33" s="156" t="s">
        <v>91</v>
      </c>
      <c r="R33" s="153" t="s">
        <v>92</v>
      </c>
      <c r="S33" s="156" t="s">
        <v>92</v>
      </c>
      <c r="T33" s="153" t="s">
        <v>91</v>
      </c>
      <c r="U33" s="157" t="s">
        <v>92</v>
      </c>
      <c r="V33" s="156" t="s">
        <v>93</v>
      </c>
    </row>
    <row r="34" ht="11.25" customHeight="1">
      <c r="A34" s="194"/>
      <c r="B34" s="195"/>
      <c r="C34" s="195"/>
      <c r="D34" s="196" t="str">
        <f t="shared" ref="D34:V34" si="2">CONCATENATE("{""status"": ", IF(GT(D35, D36), """aangenomen""", """verworpen"""), ", ""title"": """, D5, """, ""url"": """,D20  , """, ""voor"":", D35,", ""tegen"": ", D36, ", ""onthouden"":", D37, "}")</f>
        <v>{"status": "aangenomen", "title": "M0230", "url": "https://reddit.com/r/RMTK/comments/ibbb4t", "voor":16, "tegen": 7, "onthouden":1}</v>
      </c>
      <c r="E34" s="196" t="str">
        <f t="shared" si="2"/>
        <v>{"status": "aangenomen", "title": "M0231", "url": "https://reddit.com/r/RMTK/comments/iby5lq", "voor":22, "tegen": 1, "onthouden":1}</v>
      </c>
      <c r="F34" s="196" t="str">
        <f t="shared" si="2"/>
        <v>{"status": "aangenomen", "title": "W0121", "url": "https://reddit.com/r/RMTK/comments/i8x6kl", "voor":16, "tegen": 7, "onthouden":1}</v>
      </c>
      <c r="G34" s="196" t="str">
        <f t="shared" si="2"/>
        <v>{"status": "aangenomen", "title": "W0123-I", "url": "https://reddit.com/r/RMTK/comments/ibzov8", "voor":23, "tegen": 0, "onthouden":1}</v>
      </c>
      <c r="H34" s="197" t="str">
        <f t="shared" si="2"/>
        <v>{"status": "aangenomen", "title": "W0124", "url": "https://reddit.com/r/RMTK/comments/i8b10u", "voor":22, "tegen": 1, "onthouden":1}</v>
      </c>
      <c r="I34" s="196" t="str">
        <f t="shared" si="2"/>
        <v>{"status": "aangenomen", "title": "M0232", "url": "https://reddit.com/r/RMTK/comments/ifm6xl", "voor":20, "tegen": 5, "onthouden":0}</v>
      </c>
      <c r="J34" s="196" t="str">
        <f t="shared" si="2"/>
        <v>{"status": "aangenomen", "title": "W0123", "url": "https://reddit.com/r/RMTK/comments/i5b4d5", "voor":25, "tegen": 0, "onthouden":0}</v>
      </c>
      <c r="K34" s="196" t="str">
        <f t="shared" si="2"/>
        <v>{"status": "aangenomen", "title": "W0125", "url": "https://reddit.com/r/RMTK/comments/ickt5u", "voor":16, "tegen": 9, "onthouden":0}</v>
      </c>
      <c r="L34" s="196" t="str">
        <f t="shared" si="2"/>
        <v>{"status": "aangenomen", "title": "W0126", "url": "https://reddit.com/r/RMTK/comments/id7iyi", "voor":25, "tegen": 0, "onthouden":0}</v>
      </c>
      <c r="M34" s="197" t="str">
        <f t="shared" si="2"/>
        <v>{"status": "aangenomen", "title": "W0127", "url": "https://reddit.com/r/RMTK/comments/ig98vn", "voor":18, "tegen": 7, "onthouden":0}</v>
      </c>
      <c r="N34" s="196" t="str">
        <f t="shared" si="2"/>
        <v>{"status": "aangenomen", "title": "M0233", "url": "https://reddit.com/r/RMTK/comments/ii4d8m", "voor":21, "tegen": 0, "onthouden":0}</v>
      </c>
      <c r="O34" s="196" t="str">
        <f t="shared" si="2"/>
        <v>{"status": "verworpen", "title": "W0128", "url": "https://reddit.com/r/RMTK/comments/igw52q", "voor":4, "tegen": 17, "onthouden":0}</v>
      </c>
      <c r="P34" s="197" t="str">
        <f t="shared" si="2"/>
        <v>{"status": "verworpen", "title": "W0130", "url": "https://reddit.com/r/RMTK/comments/ikhimi", "voor":3, "tegen": 18, "onthouden":0}</v>
      </c>
      <c r="Q34" s="196" t="str">
        <f t="shared" si="2"/>
        <v>{"status": "aangenomen", "title": "M0234", "url": "https://reddit.com/r/RMTK/comments/il3zoe", "voor":22, "tegen": 0, "onthouden":0}</v>
      </c>
      <c r="R34" s="196" t="str">
        <f t="shared" si="2"/>
        <v>{"status": "verworpen", "title": "W0129-I", "url": "https://reddit.com/r/RMTK/comments/io67hp", "voor":9, "tegen": 13, "onthouden":0}</v>
      </c>
      <c r="S34" s="196" t="str">
        <f t="shared" si="2"/>
        <v>{"status": "aangenomen", "title": "W0129-II", "url": "https://reddit.com/r/RMTK/comments/io8ziy", "voor":12, "tegen": 10, "onthouden":0}</v>
      </c>
      <c r="T34" s="196" t="str">
        <f t="shared" si="2"/>
        <v>{"status": "aangenomen", "title": "W0131", "url": "https://reddit.com/r/RMTK/comments/ilql8h", "voor":22, "tegen": 0, "onthouden":0}</v>
      </c>
      <c r="U34" s="196" t="str">
        <f t="shared" si="2"/>
        <v>{"status": "verworpen", "title": "W0134", "url": "https://reddit.com/r/RMTK/comments/ioqvti", "voor":8, "tegen": 14, "onthouden":0}</v>
      </c>
      <c r="V34" s="196" t="str">
        <f t="shared" si="2"/>
        <v>{"status": "verworpen", "title": "", "url": "", "voor":0, "tegen": 0, "onthouden":0}</v>
      </c>
    </row>
    <row r="35" ht="18.0" customHeight="1">
      <c r="A35" s="198" t="s">
        <v>119</v>
      </c>
      <c r="B35" s="199" t="s">
        <v>91</v>
      </c>
      <c r="C35" s="44"/>
      <c r="D35" s="200">
        <f t="shared" ref="D35:V35" si="3">COUNTIF(D5:D33,"Voor")</f>
        <v>16</v>
      </c>
      <c r="E35" s="201">
        <f t="shared" si="3"/>
        <v>22</v>
      </c>
      <c r="F35" s="201">
        <f t="shared" si="3"/>
        <v>16</v>
      </c>
      <c r="G35" s="201">
        <f t="shared" si="3"/>
        <v>23</v>
      </c>
      <c r="H35" s="202">
        <f t="shared" si="3"/>
        <v>22</v>
      </c>
      <c r="I35" s="200">
        <f t="shared" si="3"/>
        <v>20</v>
      </c>
      <c r="J35" s="201">
        <f t="shared" si="3"/>
        <v>25</v>
      </c>
      <c r="K35" s="201">
        <f t="shared" si="3"/>
        <v>16</v>
      </c>
      <c r="L35" s="201">
        <f t="shared" si="3"/>
        <v>25</v>
      </c>
      <c r="M35" s="202">
        <f t="shared" si="3"/>
        <v>18</v>
      </c>
      <c r="N35" s="201">
        <f t="shared" si="3"/>
        <v>21</v>
      </c>
      <c r="O35" s="201">
        <f t="shared" si="3"/>
        <v>4</v>
      </c>
      <c r="P35" s="202">
        <f t="shared" si="3"/>
        <v>3</v>
      </c>
      <c r="Q35" s="201">
        <f t="shared" si="3"/>
        <v>22</v>
      </c>
      <c r="R35" s="201">
        <f t="shared" si="3"/>
        <v>9</v>
      </c>
      <c r="S35" s="201">
        <f t="shared" si="3"/>
        <v>12</v>
      </c>
      <c r="T35" s="201">
        <f t="shared" si="3"/>
        <v>22</v>
      </c>
      <c r="U35" s="202">
        <f t="shared" si="3"/>
        <v>8</v>
      </c>
      <c r="V35" s="200">
        <f t="shared" si="3"/>
        <v>0</v>
      </c>
    </row>
    <row r="36" ht="18.75" customHeight="1">
      <c r="A36" s="44"/>
      <c r="B36" s="203" t="s">
        <v>92</v>
      </c>
      <c r="C36" s="44"/>
      <c r="D36" s="204">
        <f t="shared" ref="D36:V36" si="4">COUNTIF(D5:D33,"Tegen")</f>
        <v>7</v>
      </c>
      <c r="E36" s="205">
        <f t="shared" si="4"/>
        <v>1</v>
      </c>
      <c r="F36" s="205">
        <f t="shared" si="4"/>
        <v>7</v>
      </c>
      <c r="G36" s="205">
        <f t="shared" si="4"/>
        <v>0</v>
      </c>
      <c r="H36" s="206">
        <f t="shared" si="4"/>
        <v>1</v>
      </c>
      <c r="I36" s="204">
        <f t="shared" si="4"/>
        <v>5</v>
      </c>
      <c r="J36" s="205">
        <f t="shared" si="4"/>
        <v>0</v>
      </c>
      <c r="K36" s="205">
        <f t="shared" si="4"/>
        <v>9</v>
      </c>
      <c r="L36" s="205">
        <f t="shared" si="4"/>
        <v>0</v>
      </c>
      <c r="M36" s="206">
        <f t="shared" si="4"/>
        <v>7</v>
      </c>
      <c r="N36" s="205">
        <f t="shared" si="4"/>
        <v>0</v>
      </c>
      <c r="O36" s="205">
        <f t="shared" si="4"/>
        <v>17</v>
      </c>
      <c r="P36" s="206">
        <f t="shared" si="4"/>
        <v>18</v>
      </c>
      <c r="Q36" s="205">
        <f t="shared" si="4"/>
        <v>0</v>
      </c>
      <c r="R36" s="205">
        <f t="shared" si="4"/>
        <v>13</v>
      </c>
      <c r="S36" s="205">
        <f t="shared" si="4"/>
        <v>10</v>
      </c>
      <c r="T36" s="205">
        <f t="shared" si="4"/>
        <v>0</v>
      </c>
      <c r="U36" s="206">
        <f t="shared" si="4"/>
        <v>14</v>
      </c>
      <c r="V36" s="204">
        <f t="shared" si="4"/>
        <v>0</v>
      </c>
    </row>
    <row r="37" ht="18.75" customHeight="1">
      <c r="A37" s="44"/>
      <c r="B37" s="207" t="s">
        <v>120</v>
      </c>
      <c r="C37" s="44"/>
      <c r="D37" s="208">
        <f t="shared" ref="D37:V37" si="5">COUNTIF(D5:D33,"SO")</f>
        <v>1</v>
      </c>
      <c r="E37" s="209">
        <f t="shared" si="5"/>
        <v>1</v>
      </c>
      <c r="F37" s="209">
        <f t="shared" si="5"/>
        <v>1</v>
      </c>
      <c r="G37" s="209">
        <f t="shared" si="5"/>
        <v>1</v>
      </c>
      <c r="H37" s="210">
        <f t="shared" si="5"/>
        <v>1</v>
      </c>
      <c r="I37" s="208">
        <f t="shared" si="5"/>
        <v>0</v>
      </c>
      <c r="J37" s="209">
        <f t="shared" si="5"/>
        <v>0</v>
      </c>
      <c r="K37" s="209">
        <f t="shared" si="5"/>
        <v>0</v>
      </c>
      <c r="L37" s="209">
        <f t="shared" si="5"/>
        <v>0</v>
      </c>
      <c r="M37" s="210">
        <f t="shared" si="5"/>
        <v>0</v>
      </c>
      <c r="N37" s="209">
        <f t="shared" si="5"/>
        <v>0</v>
      </c>
      <c r="O37" s="209">
        <f t="shared" si="5"/>
        <v>0</v>
      </c>
      <c r="P37" s="210">
        <f t="shared" si="5"/>
        <v>0</v>
      </c>
      <c r="Q37" s="209">
        <f t="shared" si="5"/>
        <v>0</v>
      </c>
      <c r="R37" s="209">
        <f t="shared" si="5"/>
        <v>0</v>
      </c>
      <c r="S37" s="209">
        <f t="shared" si="5"/>
        <v>0</v>
      </c>
      <c r="T37" s="209">
        <f t="shared" si="5"/>
        <v>0</v>
      </c>
      <c r="U37" s="210">
        <f t="shared" si="5"/>
        <v>0</v>
      </c>
      <c r="V37" s="208">
        <f t="shared" si="5"/>
        <v>0</v>
      </c>
    </row>
    <row r="38" ht="18.75" customHeight="1">
      <c r="A38" s="44"/>
      <c r="B38" s="211" t="s">
        <v>121</v>
      </c>
      <c r="C38" s="44"/>
      <c r="D38" s="212">
        <f t="shared" ref="D38:V38" si="6">COUNTIF(D5:D33,"NG")</f>
        <v>1</v>
      </c>
      <c r="E38" s="213">
        <f t="shared" si="6"/>
        <v>1</v>
      </c>
      <c r="F38" s="213">
        <f t="shared" si="6"/>
        <v>1</v>
      </c>
      <c r="G38" s="213">
        <f t="shared" si="6"/>
        <v>1</v>
      </c>
      <c r="H38" s="214">
        <f t="shared" si="6"/>
        <v>1</v>
      </c>
      <c r="I38" s="212">
        <f t="shared" si="6"/>
        <v>0</v>
      </c>
      <c r="J38" s="213">
        <f t="shared" si="6"/>
        <v>0</v>
      </c>
      <c r="K38" s="213">
        <f t="shared" si="6"/>
        <v>0</v>
      </c>
      <c r="L38" s="213">
        <f t="shared" si="6"/>
        <v>0</v>
      </c>
      <c r="M38" s="214">
        <f t="shared" si="6"/>
        <v>0</v>
      </c>
      <c r="N38" s="213">
        <f t="shared" si="6"/>
        <v>4</v>
      </c>
      <c r="O38" s="213">
        <f t="shared" si="6"/>
        <v>4</v>
      </c>
      <c r="P38" s="214">
        <f t="shared" si="6"/>
        <v>4</v>
      </c>
      <c r="Q38" s="213">
        <f t="shared" si="6"/>
        <v>3</v>
      </c>
      <c r="R38" s="213">
        <f t="shared" si="6"/>
        <v>3</v>
      </c>
      <c r="S38" s="213">
        <f t="shared" si="6"/>
        <v>3</v>
      </c>
      <c r="T38" s="213">
        <f t="shared" si="6"/>
        <v>3</v>
      </c>
      <c r="U38" s="214">
        <f t="shared" si="6"/>
        <v>3</v>
      </c>
      <c r="V38" s="212">
        <f t="shared" si="6"/>
        <v>25</v>
      </c>
    </row>
    <row r="39" ht="18.75" customHeight="1">
      <c r="A39" s="44"/>
      <c r="B39" s="215" t="s">
        <v>122</v>
      </c>
      <c r="C39" s="44"/>
      <c r="D39" s="216">
        <f t="shared" ref="D39:V39" si="7">SUM(D35:D38)</f>
        <v>25</v>
      </c>
      <c r="E39" s="216">
        <f t="shared" si="7"/>
        <v>25</v>
      </c>
      <c r="F39" s="216">
        <f t="shared" si="7"/>
        <v>25</v>
      </c>
      <c r="G39" s="216">
        <f t="shared" si="7"/>
        <v>25</v>
      </c>
      <c r="H39" s="217">
        <f t="shared" si="7"/>
        <v>25</v>
      </c>
      <c r="I39" s="218">
        <f t="shared" si="7"/>
        <v>25</v>
      </c>
      <c r="J39" s="216">
        <f t="shared" si="7"/>
        <v>25</v>
      </c>
      <c r="K39" s="216">
        <f t="shared" si="7"/>
        <v>25</v>
      </c>
      <c r="L39" s="216">
        <f t="shared" si="7"/>
        <v>25</v>
      </c>
      <c r="M39" s="217">
        <f t="shared" si="7"/>
        <v>25</v>
      </c>
      <c r="N39" s="216">
        <f t="shared" si="7"/>
        <v>25</v>
      </c>
      <c r="O39" s="216">
        <f t="shared" si="7"/>
        <v>25</v>
      </c>
      <c r="P39" s="217">
        <f t="shared" si="7"/>
        <v>25</v>
      </c>
      <c r="Q39" s="216">
        <f t="shared" si="7"/>
        <v>25</v>
      </c>
      <c r="R39" s="216">
        <f t="shared" si="7"/>
        <v>25</v>
      </c>
      <c r="S39" s="216">
        <f t="shared" si="7"/>
        <v>25</v>
      </c>
      <c r="T39" s="216">
        <f t="shared" si="7"/>
        <v>25</v>
      </c>
      <c r="U39" s="217">
        <f t="shared" si="7"/>
        <v>25</v>
      </c>
      <c r="V39" s="218">
        <f t="shared" si="7"/>
        <v>25</v>
      </c>
    </row>
    <row r="40" ht="18.75" customHeight="1">
      <c r="A40" s="44"/>
      <c r="B40" s="219" t="s">
        <v>123</v>
      </c>
      <c r="C40" s="44"/>
      <c r="D40" s="220" t="str">
        <f t="shared" ref="D40:V40" si="8">IF(D41&lt;=D38, "Ongeldig", IF(D35&gt;D36, "Aangenomen", "Afgewezen"))</f>
        <v>Aangenomen</v>
      </c>
      <c r="E40" s="220" t="str">
        <f t="shared" si="8"/>
        <v>Aangenomen</v>
      </c>
      <c r="F40" s="220" t="str">
        <f t="shared" si="8"/>
        <v>Aangenomen</v>
      </c>
      <c r="G40" s="220" t="str">
        <f t="shared" si="8"/>
        <v>Aangenomen</v>
      </c>
      <c r="H40" s="221" t="str">
        <f t="shared" si="8"/>
        <v>Aangenomen</v>
      </c>
      <c r="I40" s="222" t="str">
        <f t="shared" si="8"/>
        <v>Aangenomen</v>
      </c>
      <c r="J40" s="220" t="str">
        <f t="shared" si="8"/>
        <v>Aangenomen</v>
      </c>
      <c r="K40" s="220" t="str">
        <f t="shared" si="8"/>
        <v>Aangenomen</v>
      </c>
      <c r="L40" s="220" t="str">
        <f t="shared" si="8"/>
        <v>Aangenomen</v>
      </c>
      <c r="M40" s="221" t="str">
        <f t="shared" si="8"/>
        <v>Aangenomen</v>
      </c>
      <c r="N40" s="222" t="str">
        <f t="shared" si="8"/>
        <v>Aangenomen</v>
      </c>
      <c r="O40" s="220" t="str">
        <f t="shared" si="8"/>
        <v>Afgewezen</v>
      </c>
      <c r="P40" s="221" t="str">
        <f t="shared" si="8"/>
        <v>Afgewezen</v>
      </c>
      <c r="Q40" s="222" t="str">
        <f t="shared" si="8"/>
        <v>Aangenomen</v>
      </c>
      <c r="R40" s="220" t="str">
        <f t="shared" si="8"/>
        <v>Afgewezen</v>
      </c>
      <c r="S40" s="222" t="str">
        <f t="shared" si="8"/>
        <v>Aangenomen</v>
      </c>
      <c r="T40" s="220" t="str">
        <f t="shared" si="8"/>
        <v>Aangenomen</v>
      </c>
      <c r="U40" s="223" t="str">
        <f t="shared" si="8"/>
        <v>Afgewezen</v>
      </c>
      <c r="V40" s="222" t="str">
        <f t="shared" si="8"/>
        <v>Ongeldig</v>
      </c>
    </row>
    <row r="41" ht="18.75" customHeight="1">
      <c r="A41" s="44"/>
      <c r="B41" s="224" t="s">
        <v>124</v>
      </c>
      <c r="C41" s="44"/>
      <c r="D41" s="225">
        <f t="shared" ref="D41:V41" si="9">D35+D36+D37</f>
        <v>24</v>
      </c>
      <c r="E41" s="226">
        <f t="shared" si="9"/>
        <v>24</v>
      </c>
      <c r="F41" s="226">
        <f t="shared" si="9"/>
        <v>24</v>
      </c>
      <c r="G41" s="226">
        <f t="shared" si="9"/>
        <v>24</v>
      </c>
      <c r="H41" s="227">
        <f t="shared" si="9"/>
        <v>24</v>
      </c>
      <c r="I41" s="225">
        <f t="shared" si="9"/>
        <v>25</v>
      </c>
      <c r="J41" s="226">
        <f t="shared" si="9"/>
        <v>25</v>
      </c>
      <c r="K41" s="226">
        <f t="shared" si="9"/>
        <v>25</v>
      </c>
      <c r="L41" s="226">
        <f t="shared" si="9"/>
        <v>25</v>
      </c>
      <c r="M41" s="227">
        <f t="shared" si="9"/>
        <v>25</v>
      </c>
      <c r="N41" s="226">
        <f t="shared" si="9"/>
        <v>21</v>
      </c>
      <c r="O41" s="226">
        <f t="shared" si="9"/>
        <v>21</v>
      </c>
      <c r="P41" s="227">
        <f t="shared" si="9"/>
        <v>21</v>
      </c>
      <c r="Q41" s="226">
        <f t="shared" si="9"/>
        <v>22</v>
      </c>
      <c r="R41" s="226">
        <f t="shared" si="9"/>
        <v>22</v>
      </c>
      <c r="S41" s="226">
        <f t="shared" si="9"/>
        <v>22</v>
      </c>
      <c r="T41" s="226">
        <f t="shared" si="9"/>
        <v>22</v>
      </c>
      <c r="U41" s="227">
        <f t="shared" si="9"/>
        <v>22</v>
      </c>
      <c r="V41" s="225">
        <f t="shared" si="9"/>
        <v>0</v>
      </c>
    </row>
    <row r="42" ht="18.75" customHeight="1">
      <c r="A42" s="228"/>
      <c r="B42" s="229" t="s">
        <v>125</v>
      </c>
      <c r="C42" s="228"/>
      <c r="D42" s="230">
        <f t="shared" ref="D42:V42" si="10">IFERROR(D41/D39,"")</f>
        <v>0.96</v>
      </c>
      <c r="E42" s="231">
        <f t="shared" si="10"/>
        <v>0.96</v>
      </c>
      <c r="F42" s="231">
        <f t="shared" si="10"/>
        <v>0.96</v>
      </c>
      <c r="G42" s="231">
        <f t="shared" si="10"/>
        <v>0.96</v>
      </c>
      <c r="H42" s="232">
        <f t="shared" si="10"/>
        <v>0.96</v>
      </c>
      <c r="I42" s="230">
        <f t="shared" si="10"/>
        <v>1</v>
      </c>
      <c r="J42" s="231">
        <f t="shared" si="10"/>
        <v>1</v>
      </c>
      <c r="K42" s="231">
        <f t="shared" si="10"/>
        <v>1</v>
      </c>
      <c r="L42" s="231">
        <f t="shared" si="10"/>
        <v>1</v>
      </c>
      <c r="M42" s="232">
        <f t="shared" si="10"/>
        <v>1</v>
      </c>
      <c r="N42" s="231">
        <f t="shared" si="10"/>
        <v>0.84</v>
      </c>
      <c r="O42" s="231">
        <f t="shared" si="10"/>
        <v>0.84</v>
      </c>
      <c r="P42" s="232">
        <f t="shared" si="10"/>
        <v>0.84</v>
      </c>
      <c r="Q42" s="231">
        <f t="shared" si="10"/>
        <v>0.88</v>
      </c>
      <c r="R42" s="231">
        <f t="shared" si="10"/>
        <v>0.88</v>
      </c>
      <c r="S42" s="231">
        <f t="shared" si="10"/>
        <v>0.88</v>
      </c>
      <c r="T42" s="231">
        <f t="shared" si="10"/>
        <v>0.88</v>
      </c>
      <c r="U42" s="232">
        <f t="shared" si="10"/>
        <v>0.88</v>
      </c>
      <c r="V42" s="230">
        <f t="shared" si="10"/>
        <v>0</v>
      </c>
    </row>
  </sheetData>
  <mergeCells count="23">
    <mergeCell ref="A2:C2"/>
    <mergeCell ref="D2:V3"/>
    <mergeCell ref="A3:C4"/>
    <mergeCell ref="D4:H4"/>
    <mergeCell ref="I4:M4"/>
    <mergeCell ref="Q4:U4"/>
    <mergeCell ref="D6:H6"/>
    <mergeCell ref="A7:A19"/>
    <mergeCell ref="B7:B13"/>
    <mergeCell ref="B14:B17"/>
    <mergeCell ref="B18:B19"/>
    <mergeCell ref="A21:A33"/>
    <mergeCell ref="B21:B26"/>
    <mergeCell ref="A35:A42"/>
    <mergeCell ref="B41:C41"/>
    <mergeCell ref="B42:C42"/>
    <mergeCell ref="B27:B31"/>
    <mergeCell ref="B35:C35"/>
    <mergeCell ref="B36:C36"/>
    <mergeCell ref="B37:C37"/>
    <mergeCell ref="B38:C38"/>
    <mergeCell ref="B39:C39"/>
    <mergeCell ref="B40:C40"/>
  </mergeCells>
  <conditionalFormatting sqref="A3 B21:B22 B27:B28">
    <cfRule type="containsText" dxfId="0" priority="1" operator="containsText" text="voor">
      <formula>NOT(ISERROR(SEARCH(("voor"),(A3))))</formula>
    </cfRule>
  </conditionalFormatting>
  <conditionalFormatting sqref="A3 B21:B22 B27:B28">
    <cfRule type="containsText" dxfId="1" priority="2" operator="containsText" text="tegen">
      <formula>NOT(ISERROR(SEARCH(("tegen"),(A3))))</formula>
    </cfRule>
  </conditionalFormatting>
  <conditionalFormatting sqref="D7:V33 D35:V42">
    <cfRule type="containsText" dxfId="2" priority="3" operator="containsText" text="SO">
      <formula>NOT(ISERROR(SEARCH(("SO"),(D7))))</formula>
    </cfRule>
  </conditionalFormatting>
  <conditionalFormatting sqref="D7:V33 D35:V42">
    <cfRule type="containsText" dxfId="3" priority="4" operator="containsText" text="tegen">
      <formula>NOT(ISERROR(SEARCH(("tegen"),(D7))))</formula>
    </cfRule>
  </conditionalFormatting>
  <conditionalFormatting sqref="D7:V33 D35:V42">
    <cfRule type="containsText" dxfId="4" priority="5" operator="containsText" text="voor">
      <formula>NOT(ISERROR(SEARCH(("voor"),(D7))))</formula>
    </cfRule>
  </conditionalFormatting>
  <conditionalFormatting sqref="D7:V33 D35:V42">
    <cfRule type="cellIs" dxfId="5" priority="6" operator="equal">
      <formula>"NG"</formula>
    </cfRule>
  </conditionalFormatting>
  <conditionalFormatting sqref="D7:V33 D35:V42">
    <cfRule type="containsText" dxfId="6" priority="7" operator="containsText" text="NVT">
      <formula>NOT(ISERROR(SEARCH(("NVT"),(D7))))</formula>
    </cfRule>
  </conditionalFormatting>
  <conditionalFormatting sqref="A40:V40">
    <cfRule type="containsText" dxfId="4" priority="8" operator="containsText" text="Aangenomen">
      <formula>NOT(ISERROR(SEARCH(("Aangenomen"),(A40))))</formula>
    </cfRule>
  </conditionalFormatting>
  <conditionalFormatting sqref="A40:V40">
    <cfRule type="containsText" dxfId="7" priority="9" operator="containsText" text="Afgewezen">
      <formula>NOT(ISERROR(SEARCH(("Afgewezen"),(A40))))</formula>
    </cfRule>
  </conditionalFormatting>
  <conditionalFormatting sqref="A40:V40">
    <cfRule type="containsText" dxfId="8" priority="10" operator="containsText" text="ONGELDIG">
      <formula>NOT(ISERROR(SEARCH(("ONGELDIG"),(A40))))</formula>
    </cfRule>
  </conditionalFormatting>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CC4125"/>
    <outlinePr summaryBelow="0" summaryRight="0"/>
  </sheetPr>
  <sheetViews>
    <sheetView workbookViewId="0">
      <pane xSplit="3.0" ySplit="6.0" topLeftCell="D7" activePane="bottomRight" state="frozen"/>
      <selection activeCell="D1" sqref="D1" pane="topRight"/>
      <selection activeCell="A7" sqref="A7" pane="bottomLeft"/>
      <selection activeCell="D7" sqref="D7" pane="bottomRight"/>
    </sheetView>
  </sheetViews>
  <sheetFormatPr customHeight="1" defaultColWidth="14.43" defaultRowHeight="15.75"/>
  <cols>
    <col customWidth="1" min="1" max="1" width="10.86"/>
    <col customWidth="1" min="2" max="2" width="11.0"/>
    <col customWidth="1" min="3" max="3" width="26.29"/>
  </cols>
  <sheetData>
    <row r="1" ht="18.75" customHeight="1">
      <c r="A1" s="127" t="s">
        <v>126</v>
      </c>
      <c r="B1" s="128"/>
      <c r="C1" s="128"/>
      <c r="D1" s="128"/>
      <c r="E1" s="128"/>
      <c r="F1" s="128"/>
      <c r="G1" s="128"/>
      <c r="H1" s="128"/>
      <c r="I1" s="128"/>
      <c r="J1" s="128"/>
      <c r="K1" s="128"/>
      <c r="L1" s="128"/>
      <c r="M1" s="128"/>
      <c r="N1" s="128"/>
      <c r="O1" s="128"/>
      <c r="P1" s="128"/>
      <c r="Q1" s="128"/>
      <c r="R1" s="128"/>
      <c r="S1" s="128"/>
    </row>
    <row r="2" ht="18.75" customHeight="1">
      <c r="A2" s="130" t="s">
        <v>1031</v>
      </c>
      <c r="B2" s="131"/>
      <c r="C2" s="132"/>
      <c r="D2" s="133" t="s">
        <v>1734</v>
      </c>
      <c r="E2" s="124"/>
      <c r="F2" s="124"/>
      <c r="G2" s="124"/>
      <c r="H2" s="124"/>
      <c r="I2" s="124"/>
      <c r="J2" s="124"/>
      <c r="K2" s="124"/>
      <c r="L2" s="124"/>
      <c r="M2" s="124"/>
      <c r="N2" s="124"/>
      <c r="O2" s="124"/>
      <c r="P2" s="124"/>
      <c r="Q2" s="124"/>
      <c r="R2" s="124"/>
      <c r="S2" s="20"/>
    </row>
    <row r="3" ht="18.75" customHeight="1">
      <c r="A3" s="2209" t="s">
        <v>1729</v>
      </c>
      <c r="C3" s="135"/>
      <c r="D3" s="43"/>
      <c r="S3" s="44"/>
    </row>
    <row r="4" ht="18.75" customHeight="1">
      <c r="C4" s="135"/>
      <c r="D4" s="26"/>
      <c r="E4" s="330"/>
      <c r="F4" s="330"/>
      <c r="G4" s="330"/>
      <c r="H4" s="330"/>
      <c r="I4" s="330"/>
      <c r="J4" s="330"/>
      <c r="K4" s="330"/>
      <c r="L4" s="330"/>
      <c r="M4" s="330"/>
      <c r="N4" s="330"/>
      <c r="O4" s="330"/>
      <c r="P4" s="330"/>
      <c r="Q4" s="330"/>
      <c r="R4" s="330"/>
      <c r="S4" s="27"/>
    </row>
    <row r="5" ht="18.75" customHeight="1">
      <c r="A5" s="139" t="s">
        <v>86</v>
      </c>
      <c r="B5" s="140" t="s">
        <v>87</v>
      </c>
      <c r="C5" s="141" t="s">
        <v>88</v>
      </c>
      <c r="D5" s="2002" t="str">
        <f>hyperlink("https://www.reddit.com/r/RMTK/comments/e0q3ef/w0048_sanctiewet_republiek_turkije_2019/","W0048")</f>
        <v>W0048</v>
      </c>
      <c r="E5" s="2002" t="str">
        <f>hyperlink("https://www.reddit.com/r/RMTK/comments/dy8slq/w0052_wetswijziging_ter_afschaffing_van_de/","W0052")</f>
        <v>W0052</v>
      </c>
      <c r="F5" s="2002" t="str">
        <f>hyperlink("https://www.reddit.com/r/RMTK/comments/e5znmk/w0054_grondwetswijziging_ter/","W0054")</f>
        <v>W0054</v>
      </c>
      <c r="G5" s="2002" t="str">
        <f>hyperlink("https://www.reddit.com/r/RMTK/comments/e6gw21/w0055_wetswijziging_tot_het_uitbreiden_van_de/","W0055")</f>
        <v>W0055</v>
      </c>
      <c r="H5" s="2002" t="str">
        <f>hyperlink("https://www.reddit.com/r/RMTK/comments/ecbver/w0058_wet_verkorting_uitkeringsduur_appa_2020/","W0058")</f>
        <v>W0058</v>
      </c>
      <c r="I5" s="2002" t="str">
        <f>hyperlink("https://www.reddit.com/r/RMTK/comments/efm3vz/w0059_wetsvoorstel_tot_budgettaire_begroting/","W0059")</f>
        <v>W0059</v>
      </c>
      <c r="J5" s="2002" t="str">
        <f>hyperlink("https://www.reddit.com/r/RMTK/comments/eixzg8/w0060_wetswijziging_tot_verhoging_algemene/","W0060")</f>
        <v>W0060</v>
      </c>
      <c r="K5" s="2002" t="str">
        <f>hyperlink("https://www.reddit.com/r/RMTK/comments/em9c3k/w0061_rijkswet_afkondigings_en/","W0061")</f>
        <v>W0061</v>
      </c>
      <c r="L5" s="2002" t="str">
        <f>hyperlink("https://www.reddit.com/r/RMTK/comments/eo3tv9/w0062_wet_tot_het_samenvoegen_van_de_rustwetten/","W0062")</f>
        <v>W0062</v>
      </c>
      <c r="M5" s="2002" t="str">
        <f>hyperlink("https://www.reddit.com/r/RMTK/comments/eokzf9/w0063_wet_tot_oprichting_van_het/","W0063")</f>
        <v>W0063</v>
      </c>
      <c r="N5" s="2002" t="str">
        <f>hyperlink("https://www.reddit.com/r/RMTK/comments/esssij/w0064_wet_gelijke_behandeling_op_grond_van/","W0064")</f>
        <v>W0064</v>
      </c>
      <c r="O5" s="2002" t="str">
        <f>hyperlink("https://www.reddit.com/r/RMTK/comments/ev5bje/w0066_wijziging_van_de_kernenergiewet_ter/","W0066")</f>
        <v>W0066</v>
      </c>
      <c r="P5" s="2002" t="str">
        <f>hyperlink("https://www.reddit.com/r/RMTK/comments/ewnh2a/w0067_wetswijziging_afschaffing_verzwaarde/","W0067")</f>
        <v>W0067</v>
      </c>
      <c r="Q5" s="2002" t="str">
        <f>hyperlink("https://www.reddit.com/r/RMTK/comments/ey660k/w0068_wijziging_van_de_algemene_rustwet_voor_de/","W0068")</f>
        <v>W0068</v>
      </c>
      <c r="R5" s="2002" t="str">
        <f>hyperlink("https://www.reddit.com/r/RMTK/comments/ewsp33/w0069_wetsvoorstel_tot_oprichting_alan/","W0069")</f>
        <v>W0069</v>
      </c>
      <c r="S5" s="2002" t="str">
        <f>hyperlink("https://www.reddit.com/r/RMTK/comments/f58gig/w0070_voorstel_wet_derde_geslacht/","W0070")</f>
        <v>W0070</v>
      </c>
    </row>
    <row r="6" ht="6.0" customHeight="1">
      <c r="A6" s="145"/>
      <c r="B6" s="146"/>
      <c r="C6" s="146"/>
      <c r="D6" s="147"/>
      <c r="E6" s="2018"/>
      <c r="F6" s="2211"/>
      <c r="G6" s="2213"/>
      <c r="H6" s="2213"/>
      <c r="I6" s="2213"/>
      <c r="J6" s="2018"/>
      <c r="K6" s="2018"/>
      <c r="L6" s="2018"/>
      <c r="M6" s="2018"/>
      <c r="N6" s="2211"/>
      <c r="O6" s="2213"/>
      <c r="P6" s="2213"/>
      <c r="Q6" s="2211"/>
      <c r="R6" s="2213"/>
      <c r="S6" s="2213"/>
    </row>
    <row r="7" ht="18.75" customHeight="1">
      <c r="A7" s="249" t="s">
        <v>1735</v>
      </c>
      <c r="B7" s="177" t="s">
        <v>24</v>
      </c>
      <c r="C7" s="260" t="s">
        <v>108</v>
      </c>
      <c r="D7" s="252" t="s">
        <v>91</v>
      </c>
      <c r="E7" s="402" t="s">
        <v>91</v>
      </c>
      <c r="F7" s="251" t="s">
        <v>91</v>
      </c>
      <c r="G7" s="402" t="s">
        <v>91</v>
      </c>
      <c r="H7" s="251" t="s">
        <v>91</v>
      </c>
      <c r="I7" s="402" t="s">
        <v>117</v>
      </c>
      <c r="J7" s="2257" t="s">
        <v>91</v>
      </c>
      <c r="K7" s="251" t="s">
        <v>91</v>
      </c>
      <c r="L7" s="251" t="s">
        <v>91</v>
      </c>
      <c r="M7" s="2257" t="s">
        <v>91</v>
      </c>
      <c r="N7" s="2257" t="s">
        <v>91</v>
      </c>
      <c r="O7" s="251" t="s">
        <v>91</v>
      </c>
      <c r="P7" s="251" t="s">
        <v>91</v>
      </c>
      <c r="Q7" s="2257" t="s">
        <v>91</v>
      </c>
      <c r="R7" s="2159" t="s">
        <v>93</v>
      </c>
      <c r="S7" s="2258" t="s">
        <v>93</v>
      </c>
    </row>
    <row r="8" ht="18.75" customHeight="1">
      <c r="A8" s="158"/>
      <c r="B8" s="2219" t="s">
        <v>36</v>
      </c>
      <c r="C8" s="2259" t="s">
        <v>674</v>
      </c>
      <c r="D8" s="252" t="s">
        <v>91</v>
      </c>
      <c r="E8" s="402" t="s">
        <v>117</v>
      </c>
      <c r="F8" s="251" t="s">
        <v>91</v>
      </c>
      <c r="G8" s="402" t="s">
        <v>91</v>
      </c>
      <c r="H8" s="251" t="s">
        <v>91</v>
      </c>
      <c r="I8" s="402" t="s">
        <v>91</v>
      </c>
      <c r="J8" s="2257" t="s">
        <v>91</v>
      </c>
      <c r="K8" s="252" t="s">
        <v>92</v>
      </c>
      <c r="L8" s="251" t="s">
        <v>91</v>
      </c>
      <c r="M8" s="2257" t="s">
        <v>91</v>
      </c>
      <c r="N8" s="2257" t="s">
        <v>91</v>
      </c>
      <c r="O8" s="251" t="s">
        <v>91</v>
      </c>
      <c r="P8" s="252" t="s">
        <v>92</v>
      </c>
      <c r="Q8" s="2257" t="s">
        <v>91</v>
      </c>
      <c r="R8" s="251" t="s">
        <v>91</v>
      </c>
      <c r="S8" s="402" t="s">
        <v>117</v>
      </c>
    </row>
    <row r="9" ht="18.75" customHeight="1">
      <c r="A9" s="168"/>
      <c r="B9" s="2227" t="s">
        <v>375</v>
      </c>
      <c r="C9" s="2260" t="s">
        <v>440</v>
      </c>
      <c r="D9" s="252" t="s">
        <v>91</v>
      </c>
      <c r="E9" s="402" t="s">
        <v>91</v>
      </c>
      <c r="F9" s="2159" t="s">
        <v>93</v>
      </c>
      <c r="G9" s="402" t="s">
        <v>93</v>
      </c>
      <c r="H9" s="252" t="s">
        <v>91</v>
      </c>
      <c r="I9" s="402" t="s">
        <v>91</v>
      </c>
      <c r="J9" s="2257" t="s">
        <v>91</v>
      </c>
      <c r="K9" s="252" t="s">
        <v>92</v>
      </c>
      <c r="L9" s="251" t="s">
        <v>91</v>
      </c>
      <c r="M9" s="2257" t="s">
        <v>91</v>
      </c>
      <c r="N9" s="2261" t="s">
        <v>93</v>
      </c>
      <c r="O9" s="251" t="s">
        <v>91</v>
      </c>
      <c r="P9" s="252" t="s">
        <v>92</v>
      </c>
      <c r="Q9" s="2257" t="s">
        <v>91</v>
      </c>
      <c r="R9" s="251" t="s">
        <v>91</v>
      </c>
      <c r="S9" s="2257" t="s">
        <v>91</v>
      </c>
    </row>
    <row r="10" ht="9.75" customHeight="1">
      <c r="A10" s="170"/>
      <c r="B10" s="172"/>
      <c r="C10" s="172"/>
      <c r="D10" s="2235" t="str">
        <f t="shared" ref="D10:S10" si="1">LINKURL(D5)</f>
        <v>https://www.reddit.com/r/RMTK/comments/e0q3ef/w0048_sanctiewet_republiek_turkije_2019/</v>
      </c>
      <c r="E10" s="2235" t="str">
        <f t="shared" si="1"/>
        <v>https://www.reddit.com/r/RMTK/comments/dy8slq/w0052_wetswijziging_ter_afschaffing_van_de/</v>
      </c>
      <c r="F10" s="2235" t="str">
        <f t="shared" si="1"/>
        <v>https://www.reddit.com/r/RMTK/comments/e5znmk/w0054_grondwetswijziging_ter/</v>
      </c>
      <c r="G10" s="2235" t="str">
        <f t="shared" si="1"/>
        <v>https://www.reddit.com/r/RMTK/comments/e6gw21/w0055_wetswijziging_tot_het_uitbreiden_van_de/</v>
      </c>
      <c r="H10" s="2262" t="str">
        <f t="shared" si="1"/>
        <v>https://www.reddit.com/r/RMTK/comments/ecbver/w0058_wet_verkorting_uitkeringsduur_appa_2020/</v>
      </c>
      <c r="I10" s="2262" t="str">
        <f t="shared" si="1"/>
        <v>https://www.reddit.com/r/RMTK/comments/efm3vz/w0059_wetsvoorstel_tot_budgettaire_begroting/</v>
      </c>
      <c r="J10" s="2262" t="str">
        <f t="shared" si="1"/>
        <v>https://www.reddit.com/r/RMTK/comments/eixzg8/w0060_wetswijziging_tot_verhoging_algemene/</v>
      </c>
      <c r="K10" s="2235" t="str">
        <f t="shared" si="1"/>
        <v>https://www.reddit.com/r/RMTK/comments/em9c3k/w0061_rijkswet_afkondigings_en/</v>
      </c>
      <c r="L10" s="2263" t="str">
        <f t="shared" si="1"/>
        <v>https://www.reddit.com/r/RMTK/comments/eo3tv9/w0062_wet_tot_het_samenvoegen_van_de_rustwetten/</v>
      </c>
      <c r="M10" s="2264" t="str">
        <f t="shared" si="1"/>
        <v>https://www.reddit.com/r/RMTK/comments/eokzf9/w0063_wet_tot_oprichting_van_het/</v>
      </c>
      <c r="N10" s="2264" t="str">
        <f t="shared" si="1"/>
        <v>https://www.reddit.com/r/RMTK/comments/esssij/w0064_wet_gelijke_behandeling_op_grond_van/</v>
      </c>
      <c r="O10" s="2263" t="str">
        <f t="shared" si="1"/>
        <v>https://www.reddit.com/r/RMTK/comments/ev5bje/w0066_wijziging_van_de_kernenergiewet_ter/</v>
      </c>
      <c r="P10" s="2263" t="str">
        <f t="shared" si="1"/>
        <v>https://www.reddit.com/r/RMTK/comments/ewnh2a/w0067_wetswijziging_afschaffing_verzwaarde/</v>
      </c>
      <c r="Q10" s="2263" t="str">
        <f t="shared" si="1"/>
        <v>https://www.reddit.com/r/RMTK/comments/ey660k/w0068_wijziging_van_de_algemene_rustwet_voor_de/</v>
      </c>
      <c r="R10" s="2263" t="str">
        <f t="shared" si="1"/>
        <v>https://www.reddit.com/r/RMTK/comments/ewsp33/w0069_wetsvoorstel_tot_oprichting_alan/</v>
      </c>
      <c r="S10" s="2265" t="str">
        <f t="shared" si="1"/>
        <v>https://www.reddit.com/r/RMTK/comments/f58gig/w0070_voorstel_wet_derde_geslacht/</v>
      </c>
    </row>
    <row r="11" ht="18.75" customHeight="1">
      <c r="A11" s="249" t="s">
        <v>1736</v>
      </c>
      <c r="B11" s="180" t="s">
        <v>31</v>
      </c>
      <c r="C11" s="2266" t="s">
        <v>1737</v>
      </c>
      <c r="D11" s="252" t="s">
        <v>93</v>
      </c>
      <c r="E11" s="402" t="s">
        <v>93</v>
      </c>
      <c r="F11" s="252" t="s">
        <v>118</v>
      </c>
      <c r="G11" s="251" t="s">
        <v>118</v>
      </c>
      <c r="H11" s="251" t="s">
        <v>118</v>
      </c>
      <c r="I11" s="251" t="s">
        <v>118</v>
      </c>
      <c r="J11" s="251" t="s">
        <v>118</v>
      </c>
      <c r="K11" s="251" t="s">
        <v>118</v>
      </c>
      <c r="L11" s="251" t="s">
        <v>118</v>
      </c>
      <c r="M11" s="2257" t="s">
        <v>118</v>
      </c>
      <c r="N11" s="2267" t="s">
        <v>118</v>
      </c>
      <c r="O11" s="2268" t="s">
        <v>118</v>
      </c>
      <c r="P11" s="2268" t="s">
        <v>118</v>
      </c>
      <c r="Q11" s="2267" t="s">
        <v>118</v>
      </c>
      <c r="R11" s="2268" t="s">
        <v>118</v>
      </c>
      <c r="S11" s="2267" t="s">
        <v>118</v>
      </c>
    </row>
    <row r="12" ht="18.75" customHeight="1">
      <c r="A12" s="158"/>
      <c r="B12" s="135"/>
      <c r="C12" s="2269" t="s">
        <v>1359</v>
      </c>
      <c r="D12" s="251" t="s">
        <v>118</v>
      </c>
      <c r="E12" s="251" t="s">
        <v>118</v>
      </c>
      <c r="F12" s="251" t="s">
        <v>118</v>
      </c>
      <c r="G12" s="2257" t="s">
        <v>118</v>
      </c>
      <c r="H12" s="251" t="s">
        <v>91</v>
      </c>
      <c r="I12" s="402" t="s">
        <v>91</v>
      </c>
      <c r="J12" s="2257" t="s">
        <v>91</v>
      </c>
      <c r="K12" s="251" t="s">
        <v>91</v>
      </c>
      <c r="L12" s="251" t="s">
        <v>91</v>
      </c>
      <c r="M12" s="2257" t="s">
        <v>91</v>
      </c>
      <c r="N12" s="2257" t="s">
        <v>91</v>
      </c>
      <c r="O12" s="251" t="s">
        <v>91</v>
      </c>
      <c r="P12" s="251" t="s">
        <v>91</v>
      </c>
      <c r="Q12" s="2257" t="s">
        <v>91</v>
      </c>
      <c r="R12" s="251" t="s">
        <v>91</v>
      </c>
      <c r="S12" s="2257" t="s">
        <v>91</v>
      </c>
    </row>
    <row r="13" ht="18.75" customHeight="1">
      <c r="A13" s="158"/>
      <c r="B13" s="135"/>
      <c r="C13" s="2266" t="s">
        <v>1340</v>
      </c>
      <c r="D13" s="252" t="s">
        <v>118</v>
      </c>
      <c r="E13" s="402" t="s">
        <v>118</v>
      </c>
      <c r="F13" s="251" t="s">
        <v>91</v>
      </c>
      <c r="G13" s="402" t="s">
        <v>91</v>
      </c>
      <c r="H13" s="251" t="s">
        <v>118</v>
      </c>
      <c r="I13" s="251" t="s">
        <v>118</v>
      </c>
      <c r="J13" s="251" t="s">
        <v>118</v>
      </c>
      <c r="K13" s="251" t="s">
        <v>118</v>
      </c>
      <c r="L13" s="251" t="s">
        <v>118</v>
      </c>
      <c r="M13" s="2257" t="s">
        <v>118</v>
      </c>
      <c r="N13" s="2267" t="s">
        <v>118</v>
      </c>
      <c r="O13" s="2268" t="s">
        <v>118</v>
      </c>
      <c r="P13" s="2268" t="s">
        <v>118</v>
      </c>
      <c r="Q13" s="2267" t="s">
        <v>118</v>
      </c>
      <c r="R13" s="2268" t="s">
        <v>118</v>
      </c>
      <c r="S13" s="2267" t="s">
        <v>118</v>
      </c>
    </row>
    <row r="14" ht="18.75" customHeight="1">
      <c r="A14" s="158"/>
      <c r="B14" s="2240" t="s">
        <v>255</v>
      </c>
      <c r="C14" s="2241" t="s">
        <v>235</v>
      </c>
      <c r="D14" s="252" t="s">
        <v>93</v>
      </c>
      <c r="E14" s="402" t="s">
        <v>93</v>
      </c>
      <c r="F14" s="252" t="s">
        <v>93</v>
      </c>
      <c r="G14" s="402" t="s">
        <v>93</v>
      </c>
      <c r="H14" s="2159" t="s">
        <v>93</v>
      </c>
      <c r="I14" s="2258" t="s">
        <v>93</v>
      </c>
      <c r="J14" s="402" t="s">
        <v>93</v>
      </c>
      <c r="K14" s="252" t="s">
        <v>93</v>
      </c>
      <c r="L14" s="252" t="s">
        <v>93</v>
      </c>
      <c r="M14" s="402" t="s">
        <v>93</v>
      </c>
      <c r="N14" s="2258" t="s">
        <v>93</v>
      </c>
      <c r="O14" s="2159" t="s">
        <v>93</v>
      </c>
      <c r="P14" s="2159" t="s">
        <v>93</v>
      </c>
      <c r="Q14" s="2258" t="s">
        <v>93</v>
      </c>
      <c r="R14" s="2159" t="s">
        <v>93</v>
      </c>
      <c r="S14" s="2258" t="s">
        <v>93</v>
      </c>
    </row>
    <row r="15" ht="18.75" customHeight="1">
      <c r="A15" s="168"/>
      <c r="B15" s="2270" t="s">
        <v>214</v>
      </c>
      <c r="C15" s="2248" t="s">
        <v>162</v>
      </c>
      <c r="D15" s="252" t="s">
        <v>91</v>
      </c>
      <c r="E15" s="402" t="s">
        <v>92</v>
      </c>
      <c r="F15" s="251" t="s">
        <v>91</v>
      </c>
      <c r="G15" s="402" t="s">
        <v>91</v>
      </c>
      <c r="H15" s="251" t="s">
        <v>91</v>
      </c>
      <c r="I15" s="402" t="s">
        <v>91</v>
      </c>
      <c r="J15" s="402" t="s">
        <v>92</v>
      </c>
      <c r="K15" s="251" t="s">
        <v>91</v>
      </c>
      <c r="L15" s="251" t="s">
        <v>91</v>
      </c>
      <c r="M15" s="402" t="s">
        <v>92</v>
      </c>
      <c r="N15" s="2257" t="s">
        <v>91</v>
      </c>
      <c r="O15" s="251" t="s">
        <v>91</v>
      </c>
      <c r="P15" s="251" t="s">
        <v>91</v>
      </c>
      <c r="Q15" s="2257" t="s">
        <v>91</v>
      </c>
      <c r="R15" s="2271" t="s">
        <v>93</v>
      </c>
      <c r="S15" s="2272" t="s">
        <v>93</v>
      </c>
    </row>
    <row r="16" ht="11.25" customHeight="1">
      <c r="A16" s="261"/>
      <c r="B16" s="261"/>
      <c r="C16" s="261"/>
      <c r="D16" s="2252" t="str">
        <f t="shared" ref="D16:S16" si="2">CONCATENATE("{""status"": ", IF(GT(D17, D18), """aangenomen""", """verworpen"""), ", ""title"": """, D5, """, ""url"": """,D10  , """, ""voor"":", D17,", ""tegen"": ", D18, ", ""onthouden"":", D19, "}")</f>
        <v>{"status": "aangenomen", "title": "W0048", "url": "https://www.reddit.com/r/RMTK/comments/e0q3ef/w0048_sanctiewet_republiek_turkije_2019/", "voor":4, "tegen": 0, "onthouden":0}</v>
      </c>
      <c r="E16" s="2253" t="str">
        <f t="shared" si="2"/>
        <v>{"status": "aangenomen", "title": "W0052", "url": "https://www.reddit.com/r/RMTK/comments/dy8slq/w0052_wetswijziging_ter_afschaffing_van_de/", "voor":2, "tegen": 1, "onthouden":1}</v>
      </c>
      <c r="F16" s="2253" t="str">
        <f t="shared" si="2"/>
        <v>{"status": "aangenomen", "title": "W0054", "url": "https://www.reddit.com/r/RMTK/comments/e5znmk/w0054_grondwetswijziging_ter/", "voor":4, "tegen": 0, "onthouden":0}</v>
      </c>
      <c r="G16" s="2253" t="str">
        <f t="shared" si="2"/>
        <v>{"status": "aangenomen", "title": "W0055", "url": "https://www.reddit.com/r/RMTK/comments/e6gw21/w0055_wetswijziging_tot_het_uitbreiden_van_de/", "voor":4, "tegen": 0, "onthouden":0}</v>
      </c>
      <c r="H16" s="2253" t="str">
        <f t="shared" si="2"/>
        <v>{"status": "aangenomen", "title": "W0058", "url": "https://www.reddit.com/r/RMTK/comments/ecbver/w0058_wet_verkorting_uitkeringsduur_appa_2020/", "voor":5, "tegen": 0, "onthouden":0}</v>
      </c>
      <c r="I16" s="2253" t="str">
        <f t="shared" si="2"/>
        <v>{"status": "aangenomen", "title": "W0059", "url": "https://www.reddit.com/r/RMTK/comments/efm3vz/w0059_wetsvoorstel_tot_budgettaire_begroting/", "voor":4, "tegen": 0, "onthouden":1}</v>
      </c>
      <c r="J16" s="2253" t="str">
        <f t="shared" si="2"/>
        <v>{"status": "aangenomen", "title": "W0060", "url": "https://www.reddit.com/r/RMTK/comments/eixzg8/w0060_wetswijziging_tot_verhoging_algemene/", "voor":4, "tegen": 1, "onthouden":0}</v>
      </c>
      <c r="K16" s="2253" t="str">
        <f t="shared" si="2"/>
        <v>{"status": "aangenomen", "title": "W0061", "url": "https://www.reddit.com/r/RMTK/comments/em9c3k/w0061_rijkswet_afkondigings_en/", "voor":3, "tegen": 2, "onthouden":0}</v>
      </c>
      <c r="L16" s="2253" t="str">
        <f t="shared" si="2"/>
        <v>{"status": "aangenomen", "title": "W0062", "url": "https://www.reddit.com/r/RMTK/comments/eo3tv9/w0062_wet_tot_het_samenvoegen_van_de_rustwetten/", "voor":5, "tegen": 0, "onthouden":0}</v>
      </c>
      <c r="M16" s="2253" t="str">
        <f t="shared" si="2"/>
        <v>{"status": "aangenomen", "title": "W0063", "url": "https://www.reddit.com/r/RMTK/comments/eokzf9/w0063_wet_tot_oprichting_van_het/", "voor":4, "tegen": 1, "onthouden":0}</v>
      </c>
      <c r="N16" s="2253" t="str">
        <f t="shared" si="2"/>
        <v>{"status": "aangenomen", "title": "W0064", "url": "https://www.reddit.com/r/RMTK/comments/esssij/w0064_wet_gelijke_behandeling_op_grond_van/", "voor":4, "tegen": 0, "onthouden":0}</v>
      </c>
      <c r="O16" s="2253" t="str">
        <f t="shared" si="2"/>
        <v>{"status": "aangenomen", "title": "W0066", "url": "https://www.reddit.com/r/RMTK/comments/ev5bje/w0066_wijziging_van_de_kernenergiewet_ter/", "voor":5, "tegen": 0, "onthouden":0}</v>
      </c>
      <c r="P16" s="2253" t="str">
        <f t="shared" si="2"/>
        <v>{"status": "aangenomen", "title": "W0067", "url": "https://www.reddit.com/r/RMTK/comments/ewnh2a/w0067_wetswijziging_afschaffing_verzwaarde/", "voor":3, "tegen": 2, "onthouden":0}</v>
      </c>
      <c r="Q16" s="2253" t="str">
        <f t="shared" si="2"/>
        <v>{"status": "aangenomen", "title": "W0068", "url": "https://www.reddit.com/r/RMTK/comments/ey660k/w0068_wijziging_van_de_algemene_rustwet_voor_de/", "voor":5, "tegen": 0, "onthouden":0}</v>
      </c>
      <c r="R16" s="2254" t="str">
        <f t="shared" si="2"/>
        <v>{"status": "aangenomen", "title": "W0069", "url": "https://www.reddit.com/r/RMTK/comments/ewsp33/w0069_wetsvoorstel_tot_oprichting_alan/", "voor":3, "tegen": 0, "onthouden":0}</v>
      </c>
      <c r="S16" s="2273" t="str">
        <f t="shared" si="2"/>
        <v>{"status": "aangenomen", "title": "W0070", "url": "https://www.reddit.com/r/RMTK/comments/f58gig/w0070_voorstel_wet_derde_geslacht/", "voor":2, "tegen": 0, "onthouden":1}</v>
      </c>
    </row>
    <row r="17" ht="18.0" customHeight="1">
      <c r="A17" s="198" t="s">
        <v>119</v>
      </c>
      <c r="B17" s="199" t="s">
        <v>91</v>
      </c>
      <c r="C17" s="44"/>
      <c r="D17" s="2183">
        <f t="shared" ref="D17:S17" si="3">COUNTIF(D5:D15,"Voor")</f>
        <v>4</v>
      </c>
      <c r="E17" s="2183">
        <f t="shared" si="3"/>
        <v>2</v>
      </c>
      <c r="F17" s="2183">
        <f t="shared" si="3"/>
        <v>4</v>
      </c>
      <c r="G17" s="2183">
        <f t="shared" si="3"/>
        <v>4</v>
      </c>
      <c r="H17" s="2183">
        <f t="shared" si="3"/>
        <v>5</v>
      </c>
      <c r="I17" s="2183">
        <f t="shared" si="3"/>
        <v>4</v>
      </c>
      <c r="J17" s="2183">
        <f t="shared" si="3"/>
        <v>4</v>
      </c>
      <c r="K17" s="2183">
        <f t="shared" si="3"/>
        <v>3</v>
      </c>
      <c r="L17" s="2183">
        <f t="shared" si="3"/>
        <v>5</v>
      </c>
      <c r="M17" s="2183">
        <f t="shared" si="3"/>
        <v>4</v>
      </c>
      <c r="N17" s="265">
        <f t="shared" si="3"/>
        <v>4</v>
      </c>
      <c r="O17" s="2183">
        <f t="shared" si="3"/>
        <v>5</v>
      </c>
      <c r="P17" s="2183">
        <f t="shared" si="3"/>
        <v>3</v>
      </c>
      <c r="Q17" s="265">
        <f t="shared" si="3"/>
        <v>5</v>
      </c>
      <c r="R17" s="2183">
        <f t="shared" si="3"/>
        <v>3</v>
      </c>
      <c r="S17" s="2183">
        <f t="shared" si="3"/>
        <v>2</v>
      </c>
    </row>
    <row r="18" ht="18.75" customHeight="1">
      <c r="A18" s="44"/>
      <c r="B18" s="203" t="s">
        <v>92</v>
      </c>
      <c r="C18" s="44"/>
      <c r="D18" s="2187">
        <f t="shared" ref="D18:S18" si="4">COUNTIF(D5:D15,"Tegen")</f>
        <v>0</v>
      </c>
      <c r="E18" s="2187">
        <f t="shared" si="4"/>
        <v>1</v>
      </c>
      <c r="F18" s="2187">
        <f t="shared" si="4"/>
        <v>0</v>
      </c>
      <c r="G18" s="2187">
        <f t="shared" si="4"/>
        <v>0</v>
      </c>
      <c r="H18" s="2187">
        <f t="shared" si="4"/>
        <v>0</v>
      </c>
      <c r="I18" s="2187">
        <f t="shared" si="4"/>
        <v>0</v>
      </c>
      <c r="J18" s="2187">
        <f t="shared" si="4"/>
        <v>1</v>
      </c>
      <c r="K18" s="2187">
        <f t="shared" si="4"/>
        <v>2</v>
      </c>
      <c r="L18" s="2187">
        <f t="shared" si="4"/>
        <v>0</v>
      </c>
      <c r="M18" s="2187">
        <f t="shared" si="4"/>
        <v>1</v>
      </c>
      <c r="N18" s="267">
        <f t="shared" si="4"/>
        <v>0</v>
      </c>
      <c r="O18" s="2187">
        <f t="shared" si="4"/>
        <v>0</v>
      </c>
      <c r="P18" s="2187">
        <f t="shared" si="4"/>
        <v>2</v>
      </c>
      <c r="Q18" s="267">
        <f t="shared" si="4"/>
        <v>0</v>
      </c>
      <c r="R18" s="2187">
        <f t="shared" si="4"/>
        <v>0</v>
      </c>
      <c r="S18" s="2187">
        <f t="shared" si="4"/>
        <v>0</v>
      </c>
    </row>
    <row r="19" ht="18.75" customHeight="1">
      <c r="A19" s="44"/>
      <c r="B19" s="207" t="s">
        <v>120</v>
      </c>
      <c r="C19" s="44"/>
      <c r="D19" s="2191">
        <f t="shared" ref="D19:S19" si="5">COUNTIF(D5:D15,"SO")</f>
        <v>0</v>
      </c>
      <c r="E19" s="2191">
        <f t="shared" si="5"/>
        <v>1</v>
      </c>
      <c r="F19" s="2191">
        <f t="shared" si="5"/>
        <v>0</v>
      </c>
      <c r="G19" s="2191">
        <f t="shared" si="5"/>
        <v>0</v>
      </c>
      <c r="H19" s="2191">
        <f t="shared" si="5"/>
        <v>0</v>
      </c>
      <c r="I19" s="2191">
        <f t="shared" si="5"/>
        <v>1</v>
      </c>
      <c r="J19" s="2191">
        <f t="shared" si="5"/>
        <v>0</v>
      </c>
      <c r="K19" s="2191">
        <f t="shared" si="5"/>
        <v>0</v>
      </c>
      <c r="L19" s="2191">
        <f t="shared" si="5"/>
        <v>0</v>
      </c>
      <c r="M19" s="2191">
        <f t="shared" si="5"/>
        <v>0</v>
      </c>
      <c r="N19" s="269">
        <f t="shared" si="5"/>
        <v>0</v>
      </c>
      <c r="O19" s="2191">
        <f t="shared" si="5"/>
        <v>0</v>
      </c>
      <c r="P19" s="2191">
        <f t="shared" si="5"/>
        <v>0</v>
      </c>
      <c r="Q19" s="269">
        <f t="shared" si="5"/>
        <v>0</v>
      </c>
      <c r="R19" s="2191">
        <f t="shared" si="5"/>
        <v>0</v>
      </c>
      <c r="S19" s="2191">
        <f t="shared" si="5"/>
        <v>1</v>
      </c>
    </row>
    <row r="20" ht="18.75" customHeight="1">
      <c r="A20" s="44"/>
      <c r="B20" s="211" t="s">
        <v>121</v>
      </c>
      <c r="C20" s="44"/>
      <c r="D20" s="2195">
        <f t="shared" ref="D20:S20" si="6">COUNTIF(D5:D15,"NG")</f>
        <v>2</v>
      </c>
      <c r="E20" s="2195">
        <f t="shared" si="6"/>
        <v>2</v>
      </c>
      <c r="F20" s="2195">
        <f t="shared" si="6"/>
        <v>2</v>
      </c>
      <c r="G20" s="2195">
        <f t="shared" si="6"/>
        <v>2</v>
      </c>
      <c r="H20" s="2195">
        <f t="shared" si="6"/>
        <v>1</v>
      </c>
      <c r="I20" s="2195">
        <f t="shared" si="6"/>
        <v>1</v>
      </c>
      <c r="J20" s="2195">
        <f t="shared" si="6"/>
        <v>1</v>
      </c>
      <c r="K20" s="2195">
        <f t="shared" si="6"/>
        <v>1</v>
      </c>
      <c r="L20" s="2195">
        <f t="shared" si="6"/>
        <v>1</v>
      </c>
      <c r="M20" s="2195">
        <f t="shared" si="6"/>
        <v>1</v>
      </c>
      <c r="N20" s="271">
        <f t="shared" si="6"/>
        <v>2</v>
      </c>
      <c r="O20" s="2195">
        <f t="shared" si="6"/>
        <v>1</v>
      </c>
      <c r="P20" s="2195">
        <f t="shared" si="6"/>
        <v>1</v>
      </c>
      <c r="Q20" s="271">
        <f t="shared" si="6"/>
        <v>1</v>
      </c>
      <c r="R20" s="2195">
        <f t="shared" si="6"/>
        <v>3</v>
      </c>
      <c r="S20" s="2195">
        <f t="shared" si="6"/>
        <v>3</v>
      </c>
    </row>
    <row r="21" ht="18.75" customHeight="1">
      <c r="A21" s="44"/>
      <c r="B21" s="215" t="s">
        <v>122</v>
      </c>
      <c r="C21" s="44"/>
      <c r="D21" s="273">
        <f t="shared" ref="D21:S21" si="7">SUM(D17:D20)</f>
        <v>6</v>
      </c>
      <c r="E21" s="273">
        <f t="shared" si="7"/>
        <v>6</v>
      </c>
      <c r="F21" s="273">
        <f t="shared" si="7"/>
        <v>6</v>
      </c>
      <c r="G21" s="273">
        <f t="shared" si="7"/>
        <v>6</v>
      </c>
      <c r="H21" s="273">
        <f t="shared" si="7"/>
        <v>6</v>
      </c>
      <c r="I21" s="273">
        <f t="shared" si="7"/>
        <v>6</v>
      </c>
      <c r="J21" s="273">
        <f t="shared" si="7"/>
        <v>6</v>
      </c>
      <c r="K21" s="273">
        <f t="shared" si="7"/>
        <v>6</v>
      </c>
      <c r="L21" s="273">
        <f t="shared" si="7"/>
        <v>6</v>
      </c>
      <c r="M21" s="273">
        <f t="shared" si="7"/>
        <v>6</v>
      </c>
      <c r="N21" s="274">
        <f t="shared" si="7"/>
        <v>6</v>
      </c>
      <c r="O21" s="273">
        <f t="shared" si="7"/>
        <v>6</v>
      </c>
      <c r="P21" s="273">
        <f t="shared" si="7"/>
        <v>6</v>
      </c>
      <c r="Q21" s="274">
        <f t="shared" si="7"/>
        <v>6</v>
      </c>
      <c r="R21" s="273">
        <f t="shared" si="7"/>
        <v>6</v>
      </c>
      <c r="S21" s="273">
        <f t="shared" si="7"/>
        <v>6</v>
      </c>
    </row>
    <row r="22" ht="18.75" customHeight="1">
      <c r="A22" s="44"/>
      <c r="B22" s="224" t="s">
        <v>124</v>
      </c>
      <c r="C22" s="44"/>
      <c r="D22" s="279">
        <f t="shared" ref="D22:S22" si="8">D17+D18+D19</f>
        <v>4</v>
      </c>
      <c r="E22" s="279">
        <f t="shared" si="8"/>
        <v>4</v>
      </c>
      <c r="F22" s="279">
        <f t="shared" si="8"/>
        <v>4</v>
      </c>
      <c r="G22" s="279">
        <f t="shared" si="8"/>
        <v>4</v>
      </c>
      <c r="H22" s="279">
        <f t="shared" si="8"/>
        <v>5</v>
      </c>
      <c r="I22" s="279">
        <f t="shared" si="8"/>
        <v>5</v>
      </c>
      <c r="J22" s="279">
        <f t="shared" si="8"/>
        <v>5</v>
      </c>
      <c r="K22" s="279">
        <f t="shared" si="8"/>
        <v>5</v>
      </c>
      <c r="L22" s="279">
        <f t="shared" si="8"/>
        <v>5</v>
      </c>
      <c r="M22" s="279">
        <f t="shared" si="8"/>
        <v>5</v>
      </c>
      <c r="N22" s="280">
        <f t="shared" si="8"/>
        <v>4</v>
      </c>
      <c r="O22" s="279">
        <f t="shared" si="8"/>
        <v>5</v>
      </c>
      <c r="P22" s="279">
        <f t="shared" si="8"/>
        <v>5</v>
      </c>
      <c r="Q22" s="280">
        <f t="shared" si="8"/>
        <v>5</v>
      </c>
      <c r="R22" s="279">
        <f t="shared" si="8"/>
        <v>3</v>
      </c>
      <c r="S22" s="279">
        <f t="shared" si="8"/>
        <v>3</v>
      </c>
    </row>
    <row r="23" ht="18.75" customHeight="1">
      <c r="A23" s="228"/>
      <c r="B23" s="229" t="s">
        <v>125</v>
      </c>
      <c r="C23" s="228"/>
      <c r="D23" s="2205">
        <f t="shared" ref="D23:S23" si="9">IFERROR(D22/D21,"")</f>
        <v>0.6666666667</v>
      </c>
      <c r="E23" s="2205">
        <f t="shared" si="9"/>
        <v>0.6666666667</v>
      </c>
      <c r="F23" s="2205">
        <f t="shared" si="9"/>
        <v>0.6666666667</v>
      </c>
      <c r="G23" s="2205">
        <f t="shared" si="9"/>
        <v>0.6666666667</v>
      </c>
      <c r="H23" s="2205">
        <f t="shared" si="9"/>
        <v>0.8333333333</v>
      </c>
      <c r="I23" s="2205">
        <f t="shared" si="9"/>
        <v>0.8333333333</v>
      </c>
      <c r="J23" s="2205">
        <f t="shared" si="9"/>
        <v>0.8333333333</v>
      </c>
      <c r="K23" s="2205">
        <f t="shared" si="9"/>
        <v>0.8333333333</v>
      </c>
      <c r="L23" s="2205">
        <f t="shared" si="9"/>
        <v>0.8333333333</v>
      </c>
      <c r="M23" s="2205">
        <f t="shared" si="9"/>
        <v>0.8333333333</v>
      </c>
      <c r="N23" s="282">
        <f t="shared" si="9"/>
        <v>0.6666666667</v>
      </c>
      <c r="O23" s="2205">
        <f t="shared" si="9"/>
        <v>0.8333333333</v>
      </c>
      <c r="P23" s="2205">
        <f t="shared" si="9"/>
        <v>0.8333333333</v>
      </c>
      <c r="Q23" s="282">
        <f t="shared" si="9"/>
        <v>0.8333333333</v>
      </c>
      <c r="R23" s="2205">
        <f t="shared" si="9"/>
        <v>0.5</v>
      </c>
      <c r="S23" s="2205">
        <f t="shared" si="9"/>
        <v>0.5</v>
      </c>
    </row>
  </sheetData>
  <mergeCells count="14">
    <mergeCell ref="B17:C17"/>
    <mergeCell ref="B18:C18"/>
    <mergeCell ref="B19:C19"/>
    <mergeCell ref="B20:C20"/>
    <mergeCell ref="B21:C21"/>
    <mergeCell ref="B22:C22"/>
    <mergeCell ref="A2:C2"/>
    <mergeCell ref="D2:S4"/>
    <mergeCell ref="A3:C4"/>
    <mergeCell ref="A7:A9"/>
    <mergeCell ref="A11:A15"/>
    <mergeCell ref="B11:B13"/>
    <mergeCell ref="A17:A23"/>
    <mergeCell ref="B23:C23"/>
  </mergeCells>
  <conditionalFormatting sqref="A3 B11:C13">
    <cfRule type="containsText" dxfId="0" priority="1" operator="containsText" text="voor">
      <formula>NOT(ISERROR(SEARCH(("voor"),(A3))))</formula>
    </cfRule>
  </conditionalFormatting>
  <conditionalFormatting sqref="A3 B11:C13">
    <cfRule type="containsText" dxfId="1" priority="2" operator="containsText" text="tegen">
      <formula>NOT(ISERROR(SEARCH(("tegen"),(A3))))</formula>
    </cfRule>
  </conditionalFormatting>
  <conditionalFormatting sqref="D7:K15 L7:L9 M7:S15 C8 B11:B13 C11:C14 L11:L15">
    <cfRule type="containsText" dxfId="2" priority="3" operator="containsText" text="SO">
      <formula>NOT(ISERROR(SEARCH(("SO"),(D7))))</formula>
    </cfRule>
  </conditionalFormatting>
  <conditionalFormatting sqref="A3 D7:K15 L7:L9 M7:S15 C8 B11:B13 C11:C14 L11:L15">
    <cfRule type="containsText" dxfId="3" priority="4" operator="containsText" text="tegen">
      <formula>NOT(ISERROR(SEARCH(("tegen"),(A3))))</formula>
    </cfRule>
  </conditionalFormatting>
  <conditionalFormatting sqref="D7:K15 L7:L9 M7:S15 C8 B11:B13 C11:C14 L11:L15">
    <cfRule type="containsText" dxfId="4" priority="5" operator="containsText" text="voor">
      <formula>NOT(ISERROR(SEARCH(("voor"),(D7))))</formula>
    </cfRule>
  </conditionalFormatting>
  <conditionalFormatting sqref="D7:K15 L7:L9 M7:S15 C8 B11:B13 C11:C14 L11:L15">
    <cfRule type="cellIs" dxfId="5" priority="6" operator="equal">
      <formula>"NG"</formula>
    </cfRule>
  </conditionalFormatting>
  <conditionalFormatting sqref="D7:K15 L7:L9 M7:S15 C8 B11:B13 C11:C14 L11:L15">
    <cfRule type="containsText" dxfId="6" priority="7" operator="containsText" text="NVT">
      <formula>NOT(ISERROR(SEARCH(("NVT"),(D7))))</formula>
    </cfRule>
  </conditionalFormatting>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74EA7"/>
    <outlinePr summaryBelow="0" summaryRight="0"/>
  </sheetPr>
  <sheetViews>
    <sheetView workbookViewId="0">
      <pane ySplit="4.0" topLeftCell="A5" activePane="bottomLeft" state="frozen"/>
      <selection activeCell="B6" sqref="B6" pane="bottomLeft"/>
    </sheetView>
  </sheetViews>
  <sheetFormatPr customHeight="1" defaultColWidth="14.43" defaultRowHeight="15.75"/>
  <cols>
    <col customWidth="1" min="1" max="1" width="2.86"/>
    <col customWidth="1" min="2" max="2" width="11.0"/>
    <col customWidth="1" min="3" max="3" width="5.86"/>
    <col customWidth="1" min="4" max="4" width="14.14"/>
    <col customWidth="1" min="5" max="5" width="5.86"/>
    <col customWidth="1" min="6" max="6" width="16.43"/>
    <col customWidth="1" min="7" max="7" width="74.14"/>
    <col customWidth="1" min="8" max="8" width="20.0"/>
    <col customWidth="1" min="9" max="9" width="5.86"/>
    <col customWidth="1" min="10" max="10" width="13.14"/>
    <col customWidth="1" min="11" max="11" width="11.71"/>
    <col customWidth="1" min="12" max="12" width="5.86"/>
    <col customWidth="1" min="13" max="13" width="14.71"/>
    <col customWidth="1" min="14" max="14" width="5.86"/>
  </cols>
  <sheetData>
    <row r="1">
      <c r="A1" s="2274" t="s">
        <v>1738</v>
      </c>
      <c r="E1" s="2275"/>
      <c r="F1" s="2276" t="s">
        <v>1739</v>
      </c>
      <c r="I1" s="1784"/>
      <c r="J1" s="2276" t="s">
        <v>1740</v>
      </c>
      <c r="L1" s="2277"/>
      <c r="M1" s="2278" t="s">
        <v>1741</v>
      </c>
      <c r="N1" s="1784"/>
    </row>
    <row r="2">
      <c r="A2" s="2279"/>
      <c r="B2" s="2280"/>
      <c r="C2" s="2280"/>
      <c r="D2" s="2280"/>
      <c r="E2" s="2281"/>
      <c r="F2" s="2280"/>
      <c r="G2" s="2280"/>
      <c r="H2" s="2280"/>
      <c r="I2" s="1784"/>
      <c r="J2" s="2280"/>
      <c r="K2" s="2280"/>
      <c r="L2" s="2277"/>
      <c r="M2" s="2282"/>
      <c r="N2" s="1784"/>
    </row>
    <row r="3">
      <c r="A3" s="2276"/>
      <c r="C3" s="2283"/>
      <c r="D3" s="2284" t="s">
        <v>1742</v>
      </c>
      <c r="E3" s="2285"/>
      <c r="F3" s="2286" t="s">
        <v>1743</v>
      </c>
      <c r="G3" s="2287" t="s">
        <v>155</v>
      </c>
      <c r="H3" s="2288" t="s">
        <v>1744</v>
      </c>
      <c r="I3" s="1784"/>
      <c r="J3" s="2289" t="s">
        <v>1745</v>
      </c>
      <c r="K3" s="2290" t="s">
        <v>1746</v>
      </c>
      <c r="L3" s="2277"/>
      <c r="M3" s="2282"/>
      <c r="N3" s="1784"/>
    </row>
    <row r="4">
      <c r="A4" s="2291"/>
      <c r="B4" s="2291"/>
      <c r="C4" s="2292"/>
      <c r="D4" s="2292"/>
      <c r="E4" s="2292"/>
      <c r="F4" s="2292"/>
      <c r="G4" s="2293"/>
      <c r="H4" s="2294"/>
      <c r="I4" s="2292"/>
      <c r="J4" s="2292"/>
      <c r="K4" s="2292"/>
      <c r="L4" s="2292"/>
      <c r="M4" s="2295"/>
      <c r="N4" s="2292"/>
    </row>
    <row r="5">
      <c r="A5" s="2296" t="s">
        <v>1747</v>
      </c>
      <c r="B5" s="2297">
        <v>43752.0</v>
      </c>
      <c r="C5" s="2298"/>
      <c r="D5" s="2299" t="s">
        <v>1748</v>
      </c>
      <c r="E5" s="2300"/>
      <c r="F5" s="2301" t="s">
        <v>61</v>
      </c>
      <c r="G5" s="2302" t="s">
        <v>61</v>
      </c>
      <c r="H5" s="2303"/>
      <c r="I5" s="1784"/>
      <c r="J5" s="2304">
        <f t="shared" ref="J5:J7" si="1">B5</f>
        <v>43752</v>
      </c>
      <c r="K5" s="2305">
        <f t="shared" ref="K5:K8" si="2">J5+3</f>
        <v>43755</v>
      </c>
      <c r="L5" s="1784"/>
      <c r="M5" s="2306"/>
      <c r="N5" s="1784"/>
    </row>
    <row r="6">
      <c r="A6" s="2296" t="s">
        <v>1749</v>
      </c>
      <c r="B6" s="2307">
        <f t="shared" ref="B6:B7" si="3">B5+1</f>
        <v>43753</v>
      </c>
      <c r="C6" s="2298"/>
      <c r="D6" s="2299" t="s">
        <v>1748</v>
      </c>
      <c r="E6" s="2300"/>
      <c r="F6" s="2301" t="s">
        <v>61</v>
      </c>
      <c r="G6" s="2308" t="s">
        <v>1750</v>
      </c>
      <c r="H6" s="2309" t="s">
        <v>61</v>
      </c>
      <c r="I6" s="1784"/>
      <c r="J6" s="2304">
        <f t="shared" si="1"/>
        <v>43753</v>
      </c>
      <c r="K6" s="2305">
        <f t="shared" si="2"/>
        <v>43756</v>
      </c>
      <c r="L6" s="1784"/>
      <c r="M6" s="2306"/>
      <c r="N6" s="1784"/>
    </row>
    <row r="7">
      <c r="A7" s="2310" t="s">
        <v>1751</v>
      </c>
      <c r="B7" s="2307">
        <f t="shared" si="3"/>
        <v>43754</v>
      </c>
      <c r="C7" s="2298"/>
      <c r="D7" s="2299" t="s">
        <v>1748</v>
      </c>
      <c r="E7" s="2300"/>
      <c r="F7" s="2301" t="s">
        <v>1752</v>
      </c>
      <c r="G7" s="2302" t="s">
        <v>1753</v>
      </c>
      <c r="H7" s="408" t="s">
        <v>244</v>
      </c>
      <c r="I7" s="1784"/>
      <c r="J7" s="2304">
        <f t="shared" si="1"/>
        <v>43754</v>
      </c>
      <c r="K7" s="2305">
        <f t="shared" si="2"/>
        <v>43757</v>
      </c>
      <c r="L7" s="1784"/>
      <c r="M7" s="2306"/>
      <c r="N7" s="1784"/>
    </row>
    <row r="8">
      <c r="C8" s="2298"/>
      <c r="D8" s="2311" t="s">
        <v>1748</v>
      </c>
      <c r="E8" s="2300"/>
      <c r="F8" s="2301" t="s">
        <v>924</v>
      </c>
      <c r="G8" s="2302" t="s">
        <v>1754</v>
      </c>
      <c r="H8" s="2312" t="s">
        <v>111</v>
      </c>
      <c r="I8" s="1784"/>
      <c r="J8" s="2304">
        <f>B7</f>
        <v>43754</v>
      </c>
      <c r="K8" s="2305">
        <f t="shared" si="2"/>
        <v>43757</v>
      </c>
      <c r="L8" s="1784"/>
      <c r="M8" s="2306"/>
      <c r="N8" s="1784"/>
    </row>
    <row r="9">
      <c r="A9" s="2296" t="s">
        <v>1749</v>
      </c>
      <c r="B9" s="2307">
        <f>B7+1</f>
        <v>43755</v>
      </c>
      <c r="C9" s="2298"/>
      <c r="D9" s="2299" t="s">
        <v>1755</v>
      </c>
      <c r="E9" s="2298"/>
      <c r="F9" s="2313" t="s">
        <v>61</v>
      </c>
      <c r="G9" s="2314" t="s">
        <v>61</v>
      </c>
      <c r="H9" s="2303" t="s">
        <v>61</v>
      </c>
      <c r="I9" s="1784"/>
      <c r="J9" s="2304">
        <f>B9</f>
        <v>43755</v>
      </c>
      <c r="K9" s="2305">
        <f>J9+7</f>
        <v>43762</v>
      </c>
      <c r="L9" s="1784"/>
      <c r="M9" s="2306"/>
      <c r="N9" s="1784"/>
    </row>
    <row r="10">
      <c r="C10" s="2298"/>
      <c r="D10" s="2311" t="s">
        <v>1748</v>
      </c>
      <c r="E10" s="2298"/>
      <c r="F10" s="2301" t="s">
        <v>1756</v>
      </c>
      <c r="G10" s="2302" t="s">
        <v>1757</v>
      </c>
      <c r="H10" s="405" t="s">
        <v>101</v>
      </c>
      <c r="I10" s="1784"/>
      <c r="J10" s="2304">
        <f>B9</f>
        <v>43755</v>
      </c>
      <c r="K10" s="2305">
        <f t="shared" ref="K10:K11" si="4">J10+3</f>
        <v>43758</v>
      </c>
      <c r="L10" s="1784"/>
      <c r="M10" s="2306"/>
      <c r="N10" s="1784"/>
    </row>
    <row r="11">
      <c r="A11" s="2296" t="s">
        <v>1758</v>
      </c>
      <c r="B11" s="2307">
        <f>B9+1</f>
        <v>43756</v>
      </c>
      <c r="C11" s="2298"/>
      <c r="D11" s="2299" t="s">
        <v>1759</v>
      </c>
      <c r="E11" s="2298"/>
      <c r="F11" s="2301" t="s">
        <v>983</v>
      </c>
      <c r="G11" s="2302" t="s">
        <v>1760</v>
      </c>
      <c r="H11" s="408" t="s">
        <v>244</v>
      </c>
      <c r="I11" s="1784"/>
      <c r="J11" s="2304">
        <f>B11</f>
        <v>43756</v>
      </c>
      <c r="K11" s="2305">
        <f t="shared" si="4"/>
        <v>43759</v>
      </c>
      <c r="L11" s="1784"/>
      <c r="M11" s="2306"/>
      <c r="N11" s="1784"/>
    </row>
    <row r="12">
      <c r="A12" s="2296" t="s">
        <v>1761</v>
      </c>
      <c r="B12" s="2307">
        <f t="shared" ref="B12:B14" si="5">B11+1</f>
        <v>43757</v>
      </c>
      <c r="C12" s="2298"/>
      <c r="D12" s="2299" t="s">
        <v>1513</v>
      </c>
      <c r="E12" s="2298"/>
      <c r="F12" s="2315" t="s">
        <v>61</v>
      </c>
      <c r="G12" s="2316" t="s">
        <v>61</v>
      </c>
      <c r="H12" s="1441" t="s">
        <v>61</v>
      </c>
      <c r="I12" s="1784"/>
      <c r="J12" s="2317"/>
      <c r="K12" s="1754"/>
      <c r="L12" s="1784"/>
      <c r="M12" s="2306"/>
      <c r="N12" s="1784"/>
    </row>
    <row r="13">
      <c r="A13" s="2318" t="s">
        <v>1761</v>
      </c>
      <c r="B13" s="2319">
        <f t="shared" si="5"/>
        <v>43758</v>
      </c>
      <c r="C13" s="2320"/>
      <c r="D13" s="2321" t="s">
        <v>1762</v>
      </c>
      <c r="E13" s="2320"/>
      <c r="F13" s="2322" t="s">
        <v>61</v>
      </c>
      <c r="G13" s="2323" t="s">
        <v>61</v>
      </c>
      <c r="H13" s="2324" t="s">
        <v>61</v>
      </c>
      <c r="I13" s="2292"/>
      <c r="J13" s="2325"/>
      <c r="K13" s="2326"/>
      <c r="L13" s="2292"/>
      <c r="M13" s="2327"/>
      <c r="N13" s="2292"/>
    </row>
    <row r="14">
      <c r="A14" s="2296" t="s">
        <v>1747</v>
      </c>
      <c r="B14" s="2297">
        <f t="shared" si="5"/>
        <v>43759</v>
      </c>
      <c r="C14" s="2298"/>
      <c r="D14" s="2299" t="s">
        <v>1748</v>
      </c>
      <c r="E14" s="2298"/>
      <c r="F14" s="2301" t="s">
        <v>644</v>
      </c>
      <c r="G14" s="2302" t="s">
        <v>1763</v>
      </c>
      <c r="H14" s="403" t="s">
        <v>25</v>
      </c>
      <c r="I14" s="1784"/>
      <c r="J14" s="2304">
        <f>B14</f>
        <v>43759</v>
      </c>
      <c r="K14" s="2305">
        <f t="shared" ref="K14:K18" si="6">J14+3</f>
        <v>43762</v>
      </c>
      <c r="L14" s="1784"/>
      <c r="M14" s="2306"/>
      <c r="N14" s="1784"/>
    </row>
    <row r="15">
      <c r="C15" s="2298"/>
      <c r="D15" s="2311" t="s">
        <v>1748</v>
      </c>
      <c r="E15" s="2298"/>
      <c r="F15" s="2301" t="s">
        <v>1764</v>
      </c>
      <c r="G15" s="2302" t="s">
        <v>1765</v>
      </c>
      <c r="H15" s="2312" t="s">
        <v>294</v>
      </c>
      <c r="I15" s="1784"/>
      <c r="J15" s="2304">
        <f>B14</f>
        <v>43759</v>
      </c>
      <c r="K15" s="2305">
        <f t="shared" si="6"/>
        <v>43762</v>
      </c>
      <c r="L15" s="1784"/>
      <c r="M15" s="2306"/>
      <c r="N15" s="1784"/>
    </row>
    <row r="16">
      <c r="A16" s="2296" t="s">
        <v>1749</v>
      </c>
      <c r="B16" s="2307">
        <f>B14+1</f>
        <v>43760</v>
      </c>
      <c r="C16" s="2298"/>
      <c r="D16" s="2299" t="s">
        <v>1748</v>
      </c>
      <c r="E16" s="2298"/>
      <c r="F16" s="2301" t="s">
        <v>861</v>
      </c>
      <c r="G16" s="2302" t="s">
        <v>1766</v>
      </c>
      <c r="H16" s="2312" t="s">
        <v>111</v>
      </c>
      <c r="I16" s="1784"/>
      <c r="J16" s="2304">
        <f t="shared" ref="J16:J18" si="7">B16</f>
        <v>43760</v>
      </c>
      <c r="K16" s="2305">
        <f t="shared" si="6"/>
        <v>43763</v>
      </c>
      <c r="L16" s="1784"/>
      <c r="M16" s="2306"/>
      <c r="N16" s="1784"/>
    </row>
    <row r="17">
      <c r="A17" s="2310" t="s">
        <v>1751</v>
      </c>
      <c r="B17" s="2307">
        <f t="shared" ref="B17:B18" si="8">B16+1</f>
        <v>43761</v>
      </c>
      <c r="C17" s="2298"/>
      <c r="D17" s="2299" t="s">
        <v>1748</v>
      </c>
      <c r="E17" s="2298"/>
      <c r="F17" s="2301" t="s">
        <v>645</v>
      </c>
      <c r="G17" s="2302" t="s">
        <v>1767</v>
      </c>
      <c r="H17" s="2312" t="s">
        <v>639</v>
      </c>
      <c r="I17" s="1784"/>
      <c r="J17" s="2304">
        <f t="shared" si="7"/>
        <v>43761</v>
      </c>
      <c r="K17" s="2305">
        <f t="shared" si="6"/>
        <v>43764</v>
      </c>
      <c r="L17" s="1784"/>
      <c r="M17" s="2306"/>
      <c r="N17" s="1784"/>
    </row>
    <row r="18">
      <c r="A18" s="2296" t="s">
        <v>1749</v>
      </c>
      <c r="B18" s="2307">
        <f t="shared" si="8"/>
        <v>43762</v>
      </c>
      <c r="C18" s="2298"/>
      <c r="D18" s="2299" t="s">
        <v>1755</v>
      </c>
      <c r="E18" s="2298"/>
      <c r="F18" s="2313" t="s">
        <v>61</v>
      </c>
      <c r="G18" s="2314" t="s">
        <v>61</v>
      </c>
      <c r="H18" s="2303" t="s">
        <v>61</v>
      </c>
      <c r="I18" s="1784"/>
      <c r="J18" s="2304">
        <f t="shared" si="7"/>
        <v>43762</v>
      </c>
      <c r="K18" s="2305">
        <f t="shared" si="6"/>
        <v>43765</v>
      </c>
      <c r="L18" s="1784"/>
      <c r="M18" s="2306"/>
      <c r="N18" s="1784"/>
    </row>
    <row r="19">
      <c r="C19" s="2298"/>
      <c r="D19" s="2311" t="s">
        <v>1748</v>
      </c>
      <c r="E19" s="2298"/>
      <c r="F19" s="2301" t="s">
        <v>355</v>
      </c>
      <c r="G19" s="2302" t="s">
        <v>1768</v>
      </c>
      <c r="H19" s="2328" t="s">
        <v>111</v>
      </c>
      <c r="I19" s="1784"/>
      <c r="J19" s="2304">
        <f>B18</f>
        <v>43762</v>
      </c>
      <c r="K19" s="2305">
        <f>J19+7</f>
        <v>43769</v>
      </c>
      <c r="L19" s="1784"/>
      <c r="M19" s="2306"/>
      <c r="N19" s="1784"/>
    </row>
    <row r="20">
      <c r="A20" s="2296" t="s">
        <v>1758</v>
      </c>
      <c r="B20" s="2307">
        <f>B18+1</f>
        <v>43763</v>
      </c>
      <c r="C20" s="2298"/>
      <c r="D20" s="2299" t="s">
        <v>1759</v>
      </c>
      <c r="E20" s="2298"/>
      <c r="F20" s="2315"/>
      <c r="G20" s="2329"/>
      <c r="H20" s="2303"/>
      <c r="I20" s="1784"/>
      <c r="J20" s="2304">
        <f>B20</f>
        <v>43763</v>
      </c>
      <c r="K20" s="2305">
        <f>J20+3</f>
        <v>43766</v>
      </c>
      <c r="L20" s="1784"/>
      <c r="M20" s="2306"/>
      <c r="N20" s="1784"/>
    </row>
    <row r="21">
      <c r="A21" s="2296" t="s">
        <v>1761</v>
      </c>
      <c r="B21" s="2307">
        <f t="shared" ref="B21:B26" si="9">B20+1</f>
        <v>43764</v>
      </c>
      <c r="C21" s="2298"/>
      <c r="D21" s="2299" t="s">
        <v>1513</v>
      </c>
      <c r="E21" s="2298"/>
      <c r="F21" s="2315" t="s">
        <v>61</v>
      </c>
      <c r="G21" s="2316" t="s">
        <v>61</v>
      </c>
      <c r="H21" s="1441" t="s">
        <v>61</v>
      </c>
      <c r="I21" s="1784"/>
      <c r="J21" s="2317"/>
      <c r="K21" s="2305"/>
      <c r="L21" s="1784"/>
      <c r="M21" s="2306"/>
      <c r="N21" s="1784"/>
    </row>
    <row r="22">
      <c r="A22" s="2318" t="s">
        <v>1761</v>
      </c>
      <c r="B22" s="2319">
        <f t="shared" si="9"/>
        <v>43765</v>
      </c>
      <c r="C22" s="2320"/>
      <c r="D22" s="2321" t="s">
        <v>1762</v>
      </c>
      <c r="E22" s="2320"/>
      <c r="F22" s="2322" t="s">
        <v>61</v>
      </c>
      <c r="G22" s="2323" t="s">
        <v>61</v>
      </c>
      <c r="H22" s="2324" t="s">
        <v>61</v>
      </c>
      <c r="I22" s="2292"/>
      <c r="J22" s="2325"/>
      <c r="K22" s="2326"/>
      <c r="L22" s="2292"/>
      <c r="M22" s="2327"/>
      <c r="N22" s="2292"/>
    </row>
    <row r="23">
      <c r="A23" s="2296" t="s">
        <v>1747</v>
      </c>
      <c r="B23" s="2297">
        <f t="shared" si="9"/>
        <v>43766</v>
      </c>
      <c r="C23" s="2298"/>
      <c r="D23" s="2299" t="s">
        <v>1748</v>
      </c>
      <c r="E23" s="2298"/>
      <c r="F23" s="2301" t="s">
        <v>927</v>
      </c>
      <c r="G23" s="2302" t="s">
        <v>1769</v>
      </c>
      <c r="H23" s="2312" t="s">
        <v>182</v>
      </c>
      <c r="I23" s="1784"/>
      <c r="J23" s="2304">
        <f t="shared" ref="J23:J26" si="10">B23</f>
        <v>43766</v>
      </c>
      <c r="K23" s="2305">
        <f t="shared" ref="K23:K26" si="11">J23+3</f>
        <v>43769</v>
      </c>
      <c r="L23" s="1784"/>
      <c r="M23" s="2306"/>
      <c r="N23" s="1784"/>
    </row>
    <row r="24">
      <c r="A24" s="2296" t="s">
        <v>1749</v>
      </c>
      <c r="B24" s="2307">
        <f t="shared" si="9"/>
        <v>43767</v>
      </c>
      <c r="C24" s="2298"/>
      <c r="D24" s="2299" t="s">
        <v>1748</v>
      </c>
      <c r="E24" s="2298"/>
      <c r="F24" s="2301" t="s">
        <v>357</v>
      </c>
      <c r="G24" s="2302" t="s">
        <v>1770</v>
      </c>
      <c r="H24" s="2328" t="s">
        <v>111</v>
      </c>
      <c r="I24" s="1784"/>
      <c r="J24" s="2304">
        <f t="shared" si="10"/>
        <v>43767</v>
      </c>
      <c r="K24" s="2305">
        <f t="shared" si="11"/>
        <v>43770</v>
      </c>
      <c r="L24" s="1784"/>
      <c r="M24" s="2306"/>
      <c r="N24" s="1784"/>
    </row>
    <row r="25">
      <c r="A25" s="2310" t="s">
        <v>1751</v>
      </c>
      <c r="B25" s="2307">
        <f t="shared" si="9"/>
        <v>43768</v>
      </c>
      <c r="C25" s="2298"/>
      <c r="D25" s="2299" t="s">
        <v>1748</v>
      </c>
      <c r="E25" s="2298"/>
      <c r="F25" s="2301" t="s">
        <v>359</v>
      </c>
      <c r="G25" s="2302" t="s">
        <v>1771</v>
      </c>
      <c r="H25" s="2330" t="s">
        <v>48</v>
      </c>
      <c r="I25" s="1784"/>
      <c r="J25" s="2304">
        <f t="shared" si="10"/>
        <v>43768</v>
      </c>
      <c r="K25" s="2305">
        <f t="shared" si="11"/>
        <v>43771</v>
      </c>
      <c r="L25" s="1784"/>
      <c r="M25" s="2306"/>
      <c r="N25" s="1784"/>
    </row>
    <row r="26">
      <c r="A26" s="2296" t="s">
        <v>1749</v>
      </c>
      <c r="B26" s="2307">
        <f t="shared" si="9"/>
        <v>43769</v>
      </c>
      <c r="C26" s="2298"/>
      <c r="D26" s="2299" t="s">
        <v>1755</v>
      </c>
      <c r="E26" s="2298"/>
      <c r="F26" s="2313" t="s">
        <v>61</v>
      </c>
      <c r="G26" s="2314" t="s">
        <v>61</v>
      </c>
      <c r="H26" s="2303" t="s">
        <v>61</v>
      </c>
      <c r="I26" s="1784"/>
      <c r="J26" s="2304">
        <f t="shared" si="10"/>
        <v>43769</v>
      </c>
      <c r="K26" s="2305">
        <f t="shared" si="11"/>
        <v>43772</v>
      </c>
      <c r="L26" s="1784"/>
      <c r="M26" s="2306"/>
      <c r="N26" s="1784"/>
    </row>
    <row r="27">
      <c r="C27" s="2298"/>
      <c r="D27" s="2311" t="s">
        <v>1748</v>
      </c>
      <c r="E27" s="2298"/>
      <c r="F27" s="2301" t="s">
        <v>360</v>
      </c>
      <c r="G27" s="2302" t="s">
        <v>1772</v>
      </c>
      <c r="H27" s="405" t="s">
        <v>176</v>
      </c>
      <c r="I27" s="1784"/>
      <c r="J27" s="2304">
        <f>B26</f>
        <v>43769</v>
      </c>
      <c r="K27" s="2305">
        <f>J27+7</f>
        <v>43776</v>
      </c>
      <c r="L27" s="1784"/>
      <c r="M27" s="2306"/>
      <c r="N27" s="1784"/>
    </row>
    <row r="28">
      <c r="A28" s="2296" t="s">
        <v>1758</v>
      </c>
      <c r="B28" s="2307">
        <f>B26+1</f>
        <v>43770</v>
      </c>
      <c r="C28" s="2298"/>
      <c r="D28" s="2299" t="s">
        <v>1759</v>
      </c>
      <c r="E28" s="2298"/>
      <c r="F28" s="2315"/>
      <c r="G28" s="2329"/>
      <c r="H28" s="2303"/>
      <c r="I28" s="1784"/>
      <c r="J28" s="2304">
        <f>B28</f>
        <v>43770</v>
      </c>
      <c r="K28" s="2305">
        <f>J28+3</f>
        <v>43773</v>
      </c>
      <c r="L28" s="1784"/>
      <c r="M28" s="2306"/>
      <c r="N28" s="1784"/>
    </row>
    <row r="29">
      <c r="A29" s="2296" t="s">
        <v>1761</v>
      </c>
      <c r="B29" s="2307">
        <f t="shared" ref="B29:B32" si="12">B28+1</f>
        <v>43771</v>
      </c>
      <c r="C29" s="2298"/>
      <c r="D29" s="2299" t="s">
        <v>1513</v>
      </c>
      <c r="E29" s="2298"/>
      <c r="F29" s="2315" t="s">
        <v>61</v>
      </c>
      <c r="G29" s="2316" t="s">
        <v>61</v>
      </c>
      <c r="H29" s="1441" t="s">
        <v>61</v>
      </c>
      <c r="I29" s="1784"/>
      <c r="J29" s="2317"/>
      <c r="K29" s="2305"/>
      <c r="L29" s="1784"/>
      <c r="M29" s="2306"/>
      <c r="N29" s="1784"/>
    </row>
    <row r="30">
      <c r="A30" s="2318" t="s">
        <v>1761</v>
      </c>
      <c r="B30" s="2319">
        <f t="shared" si="12"/>
        <v>43772</v>
      </c>
      <c r="C30" s="2320"/>
      <c r="D30" s="2321" t="s">
        <v>1762</v>
      </c>
      <c r="E30" s="2320"/>
      <c r="F30" s="2322" t="s">
        <v>61</v>
      </c>
      <c r="G30" s="2323" t="s">
        <v>61</v>
      </c>
      <c r="H30" s="2324" t="s">
        <v>61</v>
      </c>
      <c r="I30" s="2292"/>
      <c r="J30" s="2325"/>
      <c r="K30" s="2326"/>
      <c r="L30" s="2292"/>
      <c r="M30" s="2327"/>
      <c r="N30" s="2292"/>
    </row>
    <row r="31">
      <c r="A31" s="2296" t="s">
        <v>1747</v>
      </c>
      <c r="B31" s="2297">
        <f t="shared" si="12"/>
        <v>43773</v>
      </c>
      <c r="C31" s="2298"/>
      <c r="D31" s="2299" t="s">
        <v>1748</v>
      </c>
      <c r="E31" s="2298"/>
      <c r="F31" s="2301" t="s">
        <v>362</v>
      </c>
      <c r="G31" s="2302" t="s">
        <v>1773</v>
      </c>
      <c r="H31" s="403" t="s">
        <v>106</v>
      </c>
      <c r="I31" s="1784"/>
      <c r="J31" s="2304">
        <f t="shared" ref="J31:J32" si="13">B31</f>
        <v>43773</v>
      </c>
      <c r="K31" s="2305">
        <f t="shared" ref="K31:K35" si="14">J31+3</f>
        <v>43776</v>
      </c>
      <c r="L31" s="1784"/>
      <c r="M31" s="2306"/>
      <c r="N31" s="1784"/>
    </row>
    <row r="32">
      <c r="A32" s="2296" t="s">
        <v>1749</v>
      </c>
      <c r="B32" s="2307">
        <f t="shared" si="12"/>
        <v>43774</v>
      </c>
      <c r="C32" s="2298"/>
      <c r="D32" s="2299" t="s">
        <v>1748</v>
      </c>
      <c r="E32" s="2298"/>
      <c r="F32" s="2301" t="s">
        <v>647</v>
      </c>
      <c r="G32" s="2302" t="s">
        <v>1774</v>
      </c>
      <c r="H32" s="2312" t="s">
        <v>16</v>
      </c>
      <c r="I32" s="1784"/>
      <c r="J32" s="2304">
        <f t="shared" si="13"/>
        <v>43774</v>
      </c>
      <c r="K32" s="2305">
        <f t="shared" si="14"/>
        <v>43777</v>
      </c>
      <c r="L32" s="1784"/>
      <c r="M32" s="2306"/>
      <c r="N32" s="1784"/>
    </row>
    <row r="33">
      <c r="C33" s="2298"/>
      <c r="D33" s="2311" t="s">
        <v>1748</v>
      </c>
      <c r="E33" s="2298"/>
      <c r="F33" s="2301" t="s">
        <v>648</v>
      </c>
      <c r="G33" s="2302" t="s">
        <v>1775</v>
      </c>
      <c r="H33" s="2312" t="s">
        <v>16</v>
      </c>
      <c r="I33" s="1784"/>
      <c r="J33" s="2304">
        <f>B32</f>
        <v>43774</v>
      </c>
      <c r="K33" s="2305">
        <f t="shared" si="14"/>
        <v>43777</v>
      </c>
      <c r="L33" s="1784"/>
      <c r="M33" s="2306"/>
      <c r="N33" s="1784"/>
    </row>
    <row r="34">
      <c r="A34" s="2310" t="s">
        <v>1751</v>
      </c>
      <c r="B34" s="2307">
        <f>B32+1</f>
        <v>43775</v>
      </c>
      <c r="C34" s="2298"/>
      <c r="D34" s="2299" t="s">
        <v>1748</v>
      </c>
      <c r="E34" s="2298"/>
      <c r="F34" s="2301" t="s">
        <v>649</v>
      </c>
      <c r="G34" s="2302" t="s">
        <v>1776</v>
      </c>
      <c r="H34" s="405" t="s">
        <v>176</v>
      </c>
      <c r="I34" s="1784"/>
      <c r="J34" s="2304">
        <f t="shared" ref="J34:J35" si="15">B34</f>
        <v>43775</v>
      </c>
      <c r="K34" s="2305">
        <f t="shared" si="14"/>
        <v>43778</v>
      </c>
      <c r="L34" s="1784"/>
      <c r="M34" s="2306"/>
      <c r="N34" s="1784"/>
    </row>
    <row r="35">
      <c r="A35" s="2296" t="s">
        <v>1749</v>
      </c>
      <c r="B35" s="2307">
        <f>B34+1</f>
        <v>43776</v>
      </c>
      <c r="C35" s="2298"/>
      <c r="D35" s="2299" t="s">
        <v>1755</v>
      </c>
      <c r="E35" s="2298"/>
      <c r="F35" s="2313" t="s">
        <v>61</v>
      </c>
      <c r="G35" s="2314" t="s">
        <v>61</v>
      </c>
      <c r="H35" s="2303" t="s">
        <v>61</v>
      </c>
      <c r="I35" s="1784"/>
      <c r="J35" s="2304">
        <f t="shared" si="15"/>
        <v>43776</v>
      </c>
      <c r="K35" s="2305">
        <f t="shared" si="14"/>
        <v>43779</v>
      </c>
      <c r="L35" s="1784"/>
      <c r="M35" s="2306"/>
      <c r="N35" s="1784"/>
    </row>
    <row r="36">
      <c r="C36" s="2298"/>
      <c r="D36" s="2311" t="s">
        <v>1748</v>
      </c>
      <c r="E36" s="2298"/>
      <c r="F36" s="2301" t="s">
        <v>364</v>
      </c>
      <c r="G36" s="2302" t="s">
        <v>1777</v>
      </c>
      <c r="H36" s="405" t="s">
        <v>37</v>
      </c>
      <c r="I36" s="1784"/>
      <c r="J36" s="2304">
        <f>B35</f>
        <v>43776</v>
      </c>
      <c r="K36" s="2305">
        <f>J36+7</f>
        <v>43783</v>
      </c>
      <c r="L36" s="1784"/>
      <c r="M36" s="2306"/>
      <c r="N36" s="1784"/>
    </row>
    <row r="37">
      <c r="A37" s="2296" t="s">
        <v>1758</v>
      </c>
      <c r="B37" s="2307">
        <f>B35+1</f>
        <v>43777</v>
      </c>
      <c r="C37" s="2298"/>
      <c r="D37" s="2299" t="s">
        <v>1759</v>
      </c>
      <c r="E37" s="2298"/>
      <c r="F37" s="2315"/>
      <c r="G37" s="2329"/>
      <c r="H37" s="2303"/>
      <c r="I37" s="1784"/>
      <c r="J37" s="2304">
        <f>B37</f>
        <v>43777</v>
      </c>
      <c r="K37" s="2305">
        <f>J37+3</f>
        <v>43780</v>
      </c>
      <c r="L37" s="1784"/>
      <c r="M37" s="2306"/>
      <c r="N37" s="1784"/>
    </row>
    <row r="38">
      <c r="A38" s="2296" t="s">
        <v>1761</v>
      </c>
      <c r="B38" s="2307">
        <f t="shared" ref="B38:B40" si="16">B37+1</f>
        <v>43778</v>
      </c>
      <c r="C38" s="2298"/>
      <c r="D38" s="2299" t="s">
        <v>1513</v>
      </c>
      <c r="E38" s="2298"/>
      <c r="F38" s="2315" t="s">
        <v>61</v>
      </c>
      <c r="G38" s="2316" t="s">
        <v>61</v>
      </c>
      <c r="H38" s="1441" t="s">
        <v>61</v>
      </c>
      <c r="I38" s="1784"/>
      <c r="J38" s="2317"/>
      <c r="K38" s="1754"/>
      <c r="L38" s="1784"/>
      <c r="M38" s="2306"/>
      <c r="N38" s="1784"/>
    </row>
    <row r="39">
      <c r="A39" s="2318" t="s">
        <v>1761</v>
      </c>
      <c r="B39" s="2319">
        <f t="shared" si="16"/>
        <v>43779</v>
      </c>
      <c r="C39" s="2320"/>
      <c r="D39" s="2321" t="s">
        <v>1762</v>
      </c>
      <c r="E39" s="2320"/>
      <c r="F39" s="2322" t="s">
        <v>61</v>
      </c>
      <c r="G39" s="2323" t="s">
        <v>61</v>
      </c>
      <c r="H39" s="2324" t="s">
        <v>61</v>
      </c>
      <c r="I39" s="2292"/>
      <c r="J39" s="2325"/>
      <c r="K39" s="2326"/>
      <c r="L39" s="2292"/>
      <c r="M39" s="2327"/>
      <c r="N39" s="2292"/>
    </row>
    <row r="40">
      <c r="A40" s="2296" t="s">
        <v>1747</v>
      </c>
      <c r="B40" s="2297">
        <f t="shared" si="16"/>
        <v>43780</v>
      </c>
      <c r="C40" s="2298"/>
      <c r="D40" s="2299" t="s">
        <v>1748</v>
      </c>
      <c r="E40" s="2298"/>
      <c r="F40" s="2301" t="s">
        <v>365</v>
      </c>
      <c r="G40" s="2302" t="s">
        <v>1778</v>
      </c>
      <c r="H40" s="403" t="s">
        <v>106</v>
      </c>
      <c r="I40" s="1784"/>
      <c r="J40" s="2304">
        <f>B40</f>
        <v>43780</v>
      </c>
      <c r="K40" s="2305">
        <f t="shared" ref="K40:K44" si="17">J40+3</f>
        <v>43783</v>
      </c>
      <c r="L40" s="1784"/>
      <c r="M40" s="2306"/>
      <c r="N40" s="1784"/>
    </row>
    <row r="41">
      <c r="C41" s="2298"/>
      <c r="D41" s="2311" t="s">
        <v>1748</v>
      </c>
      <c r="E41" s="2298"/>
      <c r="F41" s="2301" t="s">
        <v>928</v>
      </c>
      <c r="G41" s="2302" t="s">
        <v>1779</v>
      </c>
      <c r="H41" s="2312" t="s">
        <v>930</v>
      </c>
      <c r="I41" s="1784"/>
      <c r="J41" s="2304">
        <f>B40</f>
        <v>43780</v>
      </c>
      <c r="K41" s="2305">
        <f t="shared" si="17"/>
        <v>43783</v>
      </c>
      <c r="L41" s="1784"/>
      <c r="M41" s="2306"/>
      <c r="N41" s="1784"/>
    </row>
    <row r="42">
      <c r="A42" s="2296" t="s">
        <v>1749</v>
      </c>
      <c r="B42" s="2307">
        <f>B40+1</f>
        <v>43781</v>
      </c>
      <c r="C42" s="2298"/>
      <c r="D42" s="2299" t="s">
        <v>1748</v>
      </c>
      <c r="E42" s="2298"/>
      <c r="F42" s="2301" t="s">
        <v>650</v>
      </c>
      <c r="G42" s="2302" t="s">
        <v>1780</v>
      </c>
      <c r="H42" s="403" t="s">
        <v>106</v>
      </c>
      <c r="I42" s="1784"/>
      <c r="J42" s="2304">
        <f t="shared" ref="J42:J44" si="18">B42</f>
        <v>43781</v>
      </c>
      <c r="K42" s="2305">
        <f t="shared" si="17"/>
        <v>43784</v>
      </c>
      <c r="L42" s="1784"/>
      <c r="M42" s="2306"/>
      <c r="N42" s="1784"/>
    </row>
    <row r="43">
      <c r="A43" s="2310" t="s">
        <v>1751</v>
      </c>
      <c r="B43" s="2307">
        <f t="shared" ref="B43:B44" si="19">B42+1</f>
        <v>43782</v>
      </c>
      <c r="C43" s="2298"/>
      <c r="D43" s="2299" t="s">
        <v>1748</v>
      </c>
      <c r="E43" s="2298"/>
      <c r="F43" s="2301" t="s">
        <v>651</v>
      </c>
      <c r="G43" s="2302" t="s">
        <v>1781</v>
      </c>
      <c r="H43" s="2331" t="s">
        <v>1782</v>
      </c>
      <c r="I43" s="1784"/>
      <c r="J43" s="2304">
        <f t="shared" si="18"/>
        <v>43782</v>
      </c>
      <c r="K43" s="2305">
        <f t="shared" si="17"/>
        <v>43785</v>
      </c>
      <c r="L43" s="1784"/>
      <c r="M43" s="2306"/>
      <c r="N43" s="1784"/>
    </row>
    <row r="44">
      <c r="A44" s="2296" t="s">
        <v>1749</v>
      </c>
      <c r="B44" s="2307">
        <f t="shared" si="19"/>
        <v>43783</v>
      </c>
      <c r="C44" s="2298"/>
      <c r="D44" s="2299" t="s">
        <v>1755</v>
      </c>
      <c r="E44" s="2298"/>
      <c r="F44" s="2313" t="s">
        <v>61</v>
      </c>
      <c r="G44" s="2314" t="s">
        <v>61</v>
      </c>
      <c r="H44" s="2303" t="s">
        <v>61</v>
      </c>
      <c r="I44" s="1784"/>
      <c r="J44" s="2304">
        <f t="shared" si="18"/>
        <v>43783</v>
      </c>
      <c r="K44" s="2305">
        <f t="shared" si="17"/>
        <v>43786</v>
      </c>
      <c r="L44" s="1784"/>
      <c r="M44" s="2306"/>
      <c r="N44" s="1784"/>
    </row>
    <row r="45">
      <c r="C45" s="2298"/>
      <c r="D45" s="2311" t="s">
        <v>1748</v>
      </c>
      <c r="E45" s="2298"/>
      <c r="F45" s="2301" t="s">
        <v>862</v>
      </c>
      <c r="G45" s="2302" t="s">
        <v>1783</v>
      </c>
      <c r="H45" s="2331" t="s">
        <v>16</v>
      </c>
      <c r="I45" s="1784"/>
      <c r="J45" s="2304">
        <f>B44</f>
        <v>43783</v>
      </c>
      <c r="K45" s="2305">
        <f t="shared" ref="K45:K46" si="20">J45+7</f>
        <v>43790</v>
      </c>
      <c r="L45" s="1784"/>
      <c r="M45" s="2306"/>
      <c r="N45" s="1784"/>
    </row>
    <row r="46">
      <c r="C46" s="2298"/>
      <c r="D46" s="2311" t="s">
        <v>1748</v>
      </c>
      <c r="E46" s="2298"/>
      <c r="F46" s="2301" t="s">
        <v>653</v>
      </c>
      <c r="G46" s="2302" t="s">
        <v>1784</v>
      </c>
      <c r="H46" s="364" t="s">
        <v>32</v>
      </c>
      <c r="I46" s="1784"/>
      <c r="J46" s="2304">
        <f>B44</f>
        <v>43783</v>
      </c>
      <c r="K46" s="2305">
        <f t="shared" si="20"/>
        <v>43790</v>
      </c>
      <c r="L46" s="1784"/>
      <c r="M46" s="2306"/>
      <c r="N46" s="1784"/>
    </row>
    <row r="47">
      <c r="A47" s="2296" t="s">
        <v>1758</v>
      </c>
      <c r="B47" s="2307">
        <f>B44+1</f>
        <v>43784</v>
      </c>
      <c r="C47" s="2298"/>
      <c r="D47" s="2299" t="s">
        <v>1759</v>
      </c>
      <c r="E47" s="2298"/>
      <c r="F47" s="2301" t="s">
        <v>985</v>
      </c>
      <c r="G47" s="2302" t="s">
        <v>1785</v>
      </c>
      <c r="H47" s="405" t="s">
        <v>176</v>
      </c>
      <c r="I47" s="1784"/>
      <c r="J47" s="2304">
        <f>B47</f>
        <v>43784</v>
      </c>
      <c r="K47" s="2305">
        <f>J47+3</f>
        <v>43787</v>
      </c>
      <c r="L47" s="1784"/>
      <c r="M47" s="2306"/>
      <c r="N47" s="1784"/>
    </row>
    <row r="48">
      <c r="A48" s="2296" t="s">
        <v>1761</v>
      </c>
      <c r="B48" s="2307">
        <f t="shared" ref="B48:B50" si="21">B47+1</f>
        <v>43785</v>
      </c>
      <c r="C48" s="2298"/>
      <c r="D48" s="2299" t="s">
        <v>1513</v>
      </c>
      <c r="E48" s="2298"/>
      <c r="F48" s="2315" t="s">
        <v>61</v>
      </c>
      <c r="G48" s="2316" t="s">
        <v>61</v>
      </c>
      <c r="H48" s="1441" t="s">
        <v>61</v>
      </c>
      <c r="I48" s="1784"/>
      <c r="J48" s="2317"/>
      <c r="K48" s="1754"/>
      <c r="L48" s="1784"/>
      <c r="M48" s="2306"/>
      <c r="N48" s="1784"/>
    </row>
    <row r="49">
      <c r="A49" s="2318" t="s">
        <v>1761</v>
      </c>
      <c r="B49" s="2319">
        <f t="shared" si="21"/>
        <v>43786</v>
      </c>
      <c r="C49" s="2320"/>
      <c r="D49" s="2321" t="s">
        <v>1762</v>
      </c>
      <c r="E49" s="2320"/>
      <c r="F49" s="2322" t="s">
        <v>61</v>
      </c>
      <c r="G49" s="2323" t="s">
        <v>61</v>
      </c>
      <c r="H49" s="2324" t="s">
        <v>61</v>
      </c>
      <c r="I49" s="2292"/>
      <c r="J49" s="2325"/>
      <c r="K49" s="2326"/>
      <c r="L49" s="2292"/>
      <c r="M49" s="2327"/>
      <c r="N49" s="2292"/>
    </row>
    <row r="50">
      <c r="A50" s="2296" t="s">
        <v>1747</v>
      </c>
      <c r="B50" s="2297">
        <f t="shared" si="21"/>
        <v>43787</v>
      </c>
      <c r="C50" s="2298"/>
      <c r="D50" s="2299" t="s">
        <v>1748</v>
      </c>
      <c r="E50" s="2298"/>
      <c r="F50" s="2301" t="s">
        <v>654</v>
      </c>
      <c r="G50" s="2302" t="s">
        <v>1786</v>
      </c>
      <c r="H50" s="403" t="s">
        <v>106</v>
      </c>
      <c r="I50" s="1784"/>
      <c r="J50" s="2304">
        <f>B50</f>
        <v>43787</v>
      </c>
      <c r="K50" s="2305">
        <f t="shared" ref="K50:K54" si="22">J50+3</f>
        <v>43790</v>
      </c>
      <c r="L50" s="1784"/>
      <c r="M50" s="2306"/>
      <c r="N50" s="1784"/>
    </row>
    <row r="51">
      <c r="C51" s="2298"/>
      <c r="D51" s="2311" t="s">
        <v>1748</v>
      </c>
      <c r="E51" s="2298"/>
      <c r="F51" s="2301" t="s">
        <v>863</v>
      </c>
      <c r="G51" s="2302" t="s">
        <v>1787</v>
      </c>
      <c r="H51" s="2331" t="s">
        <v>294</v>
      </c>
      <c r="I51" s="1784"/>
      <c r="J51" s="2304">
        <f>B50</f>
        <v>43787</v>
      </c>
      <c r="K51" s="2305">
        <f t="shared" si="22"/>
        <v>43790</v>
      </c>
      <c r="L51" s="1784"/>
      <c r="M51" s="2306"/>
      <c r="N51" s="1784"/>
    </row>
    <row r="52">
      <c r="A52" s="2296" t="s">
        <v>1749</v>
      </c>
      <c r="B52" s="2307">
        <f>B50+1</f>
        <v>43788</v>
      </c>
      <c r="C52" s="2298"/>
      <c r="D52" s="2299" t="s">
        <v>1748</v>
      </c>
      <c r="E52" s="2298"/>
      <c r="F52" s="2301" t="s">
        <v>367</v>
      </c>
      <c r="G52" s="2302" t="s">
        <v>1788</v>
      </c>
      <c r="H52" s="400" t="s">
        <v>294</v>
      </c>
      <c r="I52" s="1784"/>
      <c r="J52" s="2304">
        <f>B52</f>
        <v>43788</v>
      </c>
      <c r="K52" s="2305">
        <f t="shared" si="22"/>
        <v>43791</v>
      </c>
      <c r="L52" s="1784"/>
      <c r="M52" s="2306"/>
      <c r="N52" s="1784"/>
    </row>
    <row r="53">
      <c r="C53" s="2298"/>
      <c r="D53" s="2311" t="s">
        <v>1748</v>
      </c>
      <c r="E53" s="2298"/>
      <c r="F53" s="2301" t="s">
        <v>864</v>
      </c>
      <c r="G53" s="2302" t="s">
        <v>1789</v>
      </c>
      <c r="H53" s="2331" t="s">
        <v>16</v>
      </c>
      <c r="I53" s="1784"/>
      <c r="J53" s="2304">
        <f>B52</f>
        <v>43788</v>
      </c>
      <c r="K53" s="2305">
        <f t="shared" si="22"/>
        <v>43791</v>
      </c>
      <c r="L53" s="1784"/>
      <c r="M53" s="2306"/>
      <c r="N53" s="1784"/>
    </row>
    <row r="54">
      <c r="A54" s="2310" t="s">
        <v>1751</v>
      </c>
      <c r="B54" s="2307">
        <f>B52+1</f>
        <v>43789</v>
      </c>
      <c r="C54" s="2298"/>
      <c r="D54" s="2299" t="s">
        <v>1748</v>
      </c>
      <c r="E54" s="2298"/>
      <c r="F54" s="2301" t="s">
        <v>368</v>
      </c>
      <c r="G54" s="2302" t="s">
        <v>1790</v>
      </c>
      <c r="H54" s="364" t="s">
        <v>32</v>
      </c>
      <c r="I54" s="1784"/>
      <c r="J54" s="2304">
        <f t="shared" ref="J54:J55" si="23">B54</f>
        <v>43789</v>
      </c>
      <c r="K54" s="2305">
        <f t="shared" si="22"/>
        <v>43792</v>
      </c>
      <c r="L54" s="1784"/>
      <c r="M54" s="2306"/>
      <c r="N54" s="1784"/>
    </row>
    <row r="55">
      <c r="A55" s="2296" t="s">
        <v>1749</v>
      </c>
      <c r="B55" s="2307">
        <f>B54+1</f>
        <v>43790</v>
      </c>
      <c r="C55" s="2298"/>
      <c r="D55" s="2299" t="s">
        <v>1755</v>
      </c>
      <c r="E55" s="2298"/>
      <c r="F55" s="2313" t="s">
        <v>61</v>
      </c>
      <c r="G55" s="2314" t="s">
        <v>61</v>
      </c>
      <c r="H55" s="2303" t="s">
        <v>61</v>
      </c>
      <c r="I55" s="1784"/>
      <c r="J55" s="2304">
        <f t="shared" si="23"/>
        <v>43790</v>
      </c>
      <c r="K55" s="2305">
        <f>J55+7</f>
        <v>43797</v>
      </c>
      <c r="L55" s="1784"/>
      <c r="M55" s="2306"/>
      <c r="N55" s="1784"/>
    </row>
    <row r="56">
      <c r="C56" s="2298"/>
      <c r="D56" s="2311" t="s">
        <v>1748</v>
      </c>
      <c r="E56" s="2298"/>
      <c r="F56" s="2332" t="s">
        <v>655</v>
      </c>
      <c r="G56" s="2333" t="s">
        <v>1791</v>
      </c>
      <c r="H56" s="405" t="s">
        <v>674</v>
      </c>
      <c r="I56" s="1784"/>
      <c r="J56" s="2304">
        <f>B55</f>
        <v>43790</v>
      </c>
      <c r="K56" s="2305">
        <f t="shared" ref="K56:K58" si="24">J56+3</f>
        <v>43793</v>
      </c>
      <c r="L56" s="1784"/>
      <c r="M56" s="2306"/>
      <c r="N56" s="1784"/>
    </row>
    <row r="57">
      <c r="C57" s="2298"/>
      <c r="D57" s="2311" t="s">
        <v>1748</v>
      </c>
      <c r="E57" s="2298"/>
      <c r="F57" s="2301" t="s">
        <v>378</v>
      </c>
      <c r="G57" s="2302" t="s">
        <v>1792</v>
      </c>
      <c r="H57" s="364" t="s">
        <v>32</v>
      </c>
      <c r="I57" s="1784"/>
      <c r="J57" s="2304">
        <f>B55</f>
        <v>43790</v>
      </c>
      <c r="K57" s="2305">
        <f t="shared" si="24"/>
        <v>43793</v>
      </c>
      <c r="L57" s="1784"/>
      <c r="M57" s="2306"/>
      <c r="N57" s="1784"/>
    </row>
    <row r="58">
      <c r="A58" s="2296" t="s">
        <v>1758</v>
      </c>
      <c r="B58" s="2307">
        <f>B55+1</f>
        <v>43791</v>
      </c>
      <c r="C58" s="2298"/>
      <c r="D58" s="2299" t="s">
        <v>1759</v>
      </c>
      <c r="E58" s="2298"/>
      <c r="F58" s="2301" t="s">
        <v>986</v>
      </c>
      <c r="G58" s="2302" t="s">
        <v>1793</v>
      </c>
      <c r="H58" s="408" t="s">
        <v>206</v>
      </c>
      <c r="I58" s="1784"/>
      <c r="J58" s="2304">
        <f>B58</f>
        <v>43791</v>
      </c>
      <c r="K58" s="2305">
        <f t="shared" si="24"/>
        <v>43794</v>
      </c>
      <c r="L58" s="1784"/>
      <c r="M58" s="2306"/>
      <c r="N58" s="1784"/>
    </row>
    <row r="59">
      <c r="A59" s="2296" t="s">
        <v>1761</v>
      </c>
      <c r="B59" s="2307">
        <f t="shared" ref="B59:B63" si="25">B58+1</f>
        <v>43792</v>
      </c>
      <c r="C59" s="2298"/>
      <c r="D59" s="2299" t="s">
        <v>1513</v>
      </c>
      <c r="E59" s="2298"/>
      <c r="F59" s="2315" t="s">
        <v>61</v>
      </c>
      <c r="G59" s="2316" t="s">
        <v>61</v>
      </c>
      <c r="H59" s="1441" t="s">
        <v>61</v>
      </c>
      <c r="I59" s="1784"/>
      <c r="J59" s="2317"/>
      <c r="K59" s="1754"/>
      <c r="L59" s="1784"/>
      <c r="M59" s="2306"/>
      <c r="N59" s="1784"/>
    </row>
    <row r="60">
      <c r="A60" s="2318" t="s">
        <v>1761</v>
      </c>
      <c r="B60" s="2319">
        <f t="shared" si="25"/>
        <v>43793</v>
      </c>
      <c r="C60" s="2320"/>
      <c r="D60" s="2321" t="s">
        <v>1762</v>
      </c>
      <c r="E60" s="2320"/>
      <c r="F60" s="2322" t="s">
        <v>61</v>
      </c>
      <c r="G60" s="2323" t="s">
        <v>61</v>
      </c>
      <c r="H60" s="2324" t="s">
        <v>61</v>
      </c>
      <c r="I60" s="2292"/>
      <c r="J60" s="2325"/>
      <c r="K60" s="2326"/>
      <c r="L60" s="2292"/>
      <c r="M60" s="2327"/>
      <c r="N60" s="2292"/>
    </row>
    <row r="61">
      <c r="A61" s="2296" t="s">
        <v>1747</v>
      </c>
      <c r="B61" s="2297">
        <f t="shared" si="25"/>
        <v>43794</v>
      </c>
      <c r="C61" s="2298"/>
      <c r="D61" s="2299" t="s">
        <v>1748</v>
      </c>
      <c r="E61" s="2298"/>
      <c r="F61" s="2301" t="s">
        <v>369</v>
      </c>
      <c r="G61" s="2302" t="s">
        <v>1794</v>
      </c>
      <c r="H61" s="403" t="s">
        <v>106</v>
      </c>
      <c r="I61" s="1784"/>
      <c r="J61" s="2304">
        <f t="shared" ref="J61:J63" si="26">B61</f>
        <v>43794</v>
      </c>
      <c r="K61" s="2305">
        <f t="shared" ref="K61:K64" si="27">J61+3</f>
        <v>43797</v>
      </c>
      <c r="L61" s="1784"/>
      <c r="M61" s="2306"/>
      <c r="N61" s="1784"/>
    </row>
    <row r="62">
      <c r="A62" s="2296" t="s">
        <v>1749</v>
      </c>
      <c r="B62" s="2307">
        <f t="shared" si="25"/>
        <v>43795</v>
      </c>
      <c r="C62" s="2298"/>
      <c r="D62" s="2299" t="s">
        <v>1748</v>
      </c>
      <c r="E62" s="2298"/>
      <c r="F62" s="2301" t="s">
        <v>370</v>
      </c>
      <c r="G62" s="2334" t="s">
        <v>1795</v>
      </c>
      <c r="H62" s="405" t="s">
        <v>252</v>
      </c>
      <c r="I62" s="1784"/>
      <c r="J62" s="2304">
        <f t="shared" si="26"/>
        <v>43795</v>
      </c>
      <c r="K62" s="2305">
        <f t="shared" si="27"/>
        <v>43798</v>
      </c>
      <c r="L62" s="1784"/>
      <c r="M62" s="2335" t="s">
        <v>1796</v>
      </c>
      <c r="N62" s="1784"/>
    </row>
    <row r="63">
      <c r="A63" s="2310" t="s">
        <v>1751</v>
      </c>
      <c r="B63" s="2307">
        <f t="shared" si="25"/>
        <v>43796</v>
      </c>
      <c r="C63" s="2298"/>
      <c r="D63" s="2299" t="s">
        <v>1748</v>
      </c>
      <c r="E63" s="2298"/>
      <c r="F63" s="2301" t="s">
        <v>865</v>
      </c>
      <c r="G63" s="2302" t="s">
        <v>1796</v>
      </c>
      <c r="H63" s="2331" t="s">
        <v>866</v>
      </c>
      <c r="I63" s="1784"/>
      <c r="J63" s="2304">
        <f t="shared" si="26"/>
        <v>43796</v>
      </c>
      <c r="K63" s="2305">
        <f t="shared" si="27"/>
        <v>43799</v>
      </c>
      <c r="L63" s="1784"/>
      <c r="M63" s="2306"/>
      <c r="N63" s="1784"/>
    </row>
    <row r="64">
      <c r="C64" s="2298"/>
      <c r="D64" s="2311" t="s">
        <v>1748</v>
      </c>
      <c r="E64" s="2298"/>
      <c r="F64" s="2301" t="s">
        <v>933</v>
      </c>
      <c r="G64" s="2336" t="s">
        <v>1797</v>
      </c>
      <c r="H64" s="2331" t="s">
        <v>182</v>
      </c>
      <c r="I64" s="1784"/>
      <c r="J64" s="2304">
        <f>B63</f>
        <v>43796</v>
      </c>
      <c r="K64" s="2305">
        <f t="shared" si="27"/>
        <v>43799</v>
      </c>
      <c r="L64" s="1784"/>
      <c r="M64" s="2306"/>
      <c r="N64" s="1784"/>
    </row>
    <row r="65">
      <c r="A65" s="2296" t="s">
        <v>1749</v>
      </c>
      <c r="B65" s="2307">
        <f>B63+1</f>
        <v>43797</v>
      </c>
      <c r="C65" s="2298"/>
      <c r="D65" s="2299" t="s">
        <v>1755</v>
      </c>
      <c r="E65" s="2298"/>
      <c r="F65" s="2313" t="s">
        <v>61</v>
      </c>
      <c r="G65" s="2314" t="s">
        <v>61</v>
      </c>
      <c r="H65" s="2303" t="s">
        <v>61</v>
      </c>
      <c r="I65" s="1784"/>
      <c r="J65" s="2304">
        <f>B65</f>
        <v>43797</v>
      </c>
      <c r="K65" s="2305">
        <f>J65+7</f>
        <v>43804</v>
      </c>
      <c r="L65" s="1784"/>
      <c r="M65" s="2306"/>
      <c r="N65" s="1784"/>
    </row>
    <row r="66">
      <c r="C66" s="2298"/>
      <c r="D66" s="2311" t="s">
        <v>1748</v>
      </c>
      <c r="E66" s="2298"/>
      <c r="F66" s="2301" t="s">
        <v>372</v>
      </c>
      <c r="G66" s="2302" t="s">
        <v>1798</v>
      </c>
      <c r="H66" s="403" t="s">
        <v>106</v>
      </c>
      <c r="I66" s="1784"/>
      <c r="J66" s="2304">
        <f>B65</f>
        <v>43797</v>
      </c>
      <c r="K66" s="2305">
        <f t="shared" ref="K66:K68" si="28">J66+3</f>
        <v>43800</v>
      </c>
      <c r="L66" s="1784"/>
      <c r="M66" s="2306"/>
      <c r="N66" s="1784"/>
    </row>
    <row r="67">
      <c r="A67" s="2296" t="s">
        <v>1758</v>
      </c>
      <c r="B67" s="2307">
        <f>B65+1</f>
        <v>43798</v>
      </c>
      <c r="C67" s="2298"/>
      <c r="D67" s="2299" t="s">
        <v>1759</v>
      </c>
      <c r="E67" s="2298"/>
      <c r="F67" s="2301" t="s">
        <v>987</v>
      </c>
      <c r="G67" s="2302" t="s">
        <v>1799</v>
      </c>
      <c r="H67" s="405" t="s">
        <v>101</v>
      </c>
      <c r="I67" s="1784"/>
      <c r="J67" s="2304">
        <f>B67</f>
        <v>43798</v>
      </c>
      <c r="K67" s="2305">
        <f t="shared" si="28"/>
        <v>43801</v>
      </c>
      <c r="L67" s="1784"/>
      <c r="M67" s="2306"/>
      <c r="N67" s="1784"/>
    </row>
    <row r="68">
      <c r="C68" s="2298"/>
      <c r="D68" s="2311" t="s">
        <v>1748</v>
      </c>
      <c r="E68" s="2298"/>
      <c r="F68" s="2301" t="s">
        <v>934</v>
      </c>
      <c r="G68" s="2302" t="s">
        <v>1800</v>
      </c>
      <c r="H68" s="2331" t="s">
        <v>182</v>
      </c>
      <c r="I68" s="1784"/>
      <c r="J68" s="2304">
        <f>B67</f>
        <v>43798</v>
      </c>
      <c r="K68" s="2305">
        <f t="shared" si="28"/>
        <v>43801</v>
      </c>
      <c r="L68" s="1784"/>
      <c r="M68" s="2306"/>
      <c r="N68" s="1784"/>
    </row>
    <row r="69">
      <c r="A69" s="2296" t="s">
        <v>1761</v>
      </c>
      <c r="B69" s="2307">
        <f>B67+1</f>
        <v>43799</v>
      </c>
      <c r="C69" s="2298"/>
      <c r="D69" s="2299" t="s">
        <v>1513</v>
      </c>
      <c r="E69" s="2298"/>
      <c r="F69" s="2315" t="s">
        <v>61</v>
      </c>
      <c r="G69" s="2316" t="s">
        <v>61</v>
      </c>
      <c r="H69" s="1441" t="s">
        <v>61</v>
      </c>
      <c r="I69" s="1784"/>
      <c r="J69" s="2317"/>
      <c r="K69" s="1754"/>
      <c r="L69" s="1784"/>
      <c r="M69" s="2306"/>
      <c r="N69" s="1784"/>
    </row>
    <row r="70">
      <c r="A70" s="2318" t="s">
        <v>1761</v>
      </c>
      <c r="B70" s="2319">
        <f>B69+1</f>
        <v>43800</v>
      </c>
      <c r="C70" s="2320"/>
      <c r="D70" s="2321" t="s">
        <v>1762</v>
      </c>
      <c r="E70" s="2320"/>
      <c r="F70" s="2322" t="s">
        <v>61</v>
      </c>
      <c r="G70" s="2323" t="s">
        <v>61</v>
      </c>
      <c r="H70" s="2324" t="s">
        <v>61</v>
      </c>
      <c r="I70" s="2292"/>
      <c r="J70" s="2325"/>
      <c r="K70" s="2326"/>
      <c r="L70" s="2292"/>
      <c r="M70" s="2327"/>
      <c r="N70" s="2292"/>
    </row>
    <row r="71">
      <c r="A71" s="2337"/>
      <c r="N71" s="135"/>
    </row>
    <row r="72">
      <c r="A72" s="2337"/>
      <c r="E72" s="1739"/>
      <c r="F72" s="2338" t="s">
        <v>1801</v>
      </c>
      <c r="G72" s="1179"/>
      <c r="H72" s="1179"/>
      <c r="I72" s="2339"/>
      <c r="N72" s="135"/>
    </row>
    <row r="73">
      <c r="A73" s="2337"/>
      <c r="E73" s="1739"/>
      <c r="F73" s="1799" t="s">
        <v>374</v>
      </c>
      <c r="G73" s="1937" t="s">
        <v>1802</v>
      </c>
      <c r="H73" s="408" t="s">
        <v>206</v>
      </c>
      <c r="I73" s="2339"/>
      <c r="N73" s="135"/>
    </row>
    <row r="74">
      <c r="A74" s="2337"/>
      <c r="E74" s="1739"/>
      <c r="F74" s="1799"/>
      <c r="G74" s="1937"/>
      <c r="H74" s="2340"/>
      <c r="I74" s="2339"/>
      <c r="N74" s="135"/>
    </row>
    <row r="75">
      <c r="A75" s="2337"/>
      <c r="E75" s="1739"/>
      <c r="F75" s="1754"/>
      <c r="G75" s="2341"/>
      <c r="I75" s="2339"/>
      <c r="N75" s="135"/>
    </row>
    <row r="76">
      <c r="A76" s="2337"/>
      <c r="E76" s="1739"/>
      <c r="I76" s="2339"/>
      <c r="N76" s="135"/>
    </row>
    <row r="77">
      <c r="A77" s="2337"/>
      <c r="E77" s="1739"/>
      <c r="H77" s="2340"/>
      <c r="I77" s="2339"/>
      <c r="N77" s="135"/>
    </row>
    <row r="78">
      <c r="A78" s="2337"/>
      <c r="E78" s="1739"/>
      <c r="F78" s="1754"/>
      <c r="G78" s="2341"/>
      <c r="H78" s="2340"/>
      <c r="I78" s="2339"/>
      <c r="N78" s="135"/>
    </row>
    <row r="79">
      <c r="A79" s="2337"/>
      <c r="E79" s="1739"/>
      <c r="F79" s="1754"/>
      <c r="G79" s="2341"/>
      <c r="H79" s="2340"/>
      <c r="I79" s="2339"/>
      <c r="N79" s="135"/>
    </row>
    <row r="80">
      <c r="A80" s="2337"/>
      <c r="E80" s="1739"/>
      <c r="F80" s="1754"/>
      <c r="G80" s="2341"/>
      <c r="H80" s="2340"/>
      <c r="I80" s="2339"/>
      <c r="N80" s="135"/>
    </row>
    <row r="81">
      <c r="A81" s="2337"/>
      <c r="E81" s="1739"/>
      <c r="F81" s="1754"/>
      <c r="G81" s="2341"/>
      <c r="H81" s="2340"/>
      <c r="I81" s="2339"/>
      <c r="N81" s="135"/>
    </row>
    <row r="82">
      <c r="A82" s="2337"/>
      <c r="E82" s="1739"/>
      <c r="F82" s="1754"/>
      <c r="G82" s="2341"/>
      <c r="H82" s="2340"/>
      <c r="I82" s="2339"/>
      <c r="N82" s="135"/>
    </row>
    <row r="83">
      <c r="A83" s="2337"/>
      <c r="E83" s="1739"/>
      <c r="F83" s="1754"/>
      <c r="G83" s="2341"/>
      <c r="H83" s="2340"/>
      <c r="I83" s="2339"/>
      <c r="N83" s="135"/>
    </row>
    <row r="84">
      <c r="A84" s="2337"/>
      <c r="E84" s="1739"/>
      <c r="F84" s="1754"/>
      <c r="G84" s="2341"/>
      <c r="H84" s="2340"/>
      <c r="I84" s="2339"/>
      <c r="N84" s="135"/>
    </row>
    <row r="85">
      <c r="A85" s="2337"/>
      <c r="E85" s="1739"/>
      <c r="F85" s="1754"/>
      <c r="G85" s="2341"/>
      <c r="H85" s="2340"/>
      <c r="I85" s="2339"/>
      <c r="N85" s="135"/>
    </row>
    <row r="86">
      <c r="A86" s="2337"/>
      <c r="E86" s="1739"/>
      <c r="F86" s="1754"/>
      <c r="G86" s="2341"/>
      <c r="H86" s="2340"/>
      <c r="I86" s="2339"/>
      <c r="N86" s="135"/>
    </row>
    <row r="87">
      <c r="A87" s="2337"/>
      <c r="E87" s="1739"/>
      <c r="F87" s="1754"/>
      <c r="G87" s="2341"/>
      <c r="H87" s="2340"/>
      <c r="I87" s="2339"/>
      <c r="N87" s="135"/>
    </row>
    <row r="88">
      <c r="A88" s="2337"/>
      <c r="E88" s="1739"/>
      <c r="F88" s="1754"/>
      <c r="G88" s="2341"/>
      <c r="H88" s="2340"/>
      <c r="I88" s="2339"/>
      <c r="N88" s="135"/>
    </row>
    <row r="89">
      <c r="A89" s="2337"/>
      <c r="E89" s="1739"/>
      <c r="F89" s="1754"/>
      <c r="G89" s="2341"/>
      <c r="H89" s="2340"/>
      <c r="I89" s="2339"/>
      <c r="N89" s="135"/>
    </row>
    <row r="90">
      <c r="A90" s="2337"/>
      <c r="E90" s="1739"/>
      <c r="F90" s="1754"/>
      <c r="G90" s="2341"/>
      <c r="H90" s="2340"/>
      <c r="I90" s="2339"/>
      <c r="N90" s="135"/>
    </row>
    <row r="91">
      <c r="A91" s="2337"/>
      <c r="E91" s="1739"/>
      <c r="F91" s="1754"/>
      <c r="G91" s="2341"/>
      <c r="I91" s="2339"/>
      <c r="N91" s="135"/>
    </row>
    <row r="92">
      <c r="A92" s="2337"/>
      <c r="E92" s="1739"/>
      <c r="I92" s="2339"/>
      <c r="N92" s="135"/>
    </row>
    <row r="93">
      <c r="A93" s="2337"/>
      <c r="E93" s="1739"/>
      <c r="I93" s="2339"/>
      <c r="N93" s="135"/>
    </row>
    <row r="94">
      <c r="A94" s="2337"/>
      <c r="E94" s="1739"/>
      <c r="I94" s="2339"/>
      <c r="N94" s="135"/>
    </row>
  </sheetData>
  <mergeCells count="83">
    <mergeCell ref="A74:E74"/>
    <mergeCell ref="A75:E75"/>
    <mergeCell ref="A76:E76"/>
    <mergeCell ref="A77:E77"/>
    <mergeCell ref="A78:E78"/>
    <mergeCell ref="A79:E79"/>
    <mergeCell ref="A80:E80"/>
    <mergeCell ref="A88:E88"/>
    <mergeCell ref="A89:E89"/>
    <mergeCell ref="A90:E90"/>
    <mergeCell ref="A91:E91"/>
    <mergeCell ref="A92:E92"/>
    <mergeCell ref="A93:E93"/>
    <mergeCell ref="A94:E94"/>
    <mergeCell ref="A81:E81"/>
    <mergeCell ref="A82:E82"/>
    <mergeCell ref="A83:E83"/>
    <mergeCell ref="A84:E84"/>
    <mergeCell ref="A85:E85"/>
    <mergeCell ref="A86:E86"/>
    <mergeCell ref="A87:E87"/>
    <mergeCell ref="I89:N89"/>
    <mergeCell ref="I90:N90"/>
    <mergeCell ref="I91:N91"/>
    <mergeCell ref="I92:N92"/>
    <mergeCell ref="I93:N93"/>
    <mergeCell ref="I94:N94"/>
    <mergeCell ref="I82:N82"/>
    <mergeCell ref="I83:N83"/>
    <mergeCell ref="I84:N84"/>
    <mergeCell ref="I85:N85"/>
    <mergeCell ref="I86:N86"/>
    <mergeCell ref="I87:N87"/>
    <mergeCell ref="I88:N88"/>
    <mergeCell ref="A1:E2"/>
    <mergeCell ref="F1:H2"/>
    <mergeCell ref="J1:K2"/>
    <mergeCell ref="M1:M3"/>
    <mergeCell ref="A3:B3"/>
    <mergeCell ref="A7:A8"/>
    <mergeCell ref="B7:B8"/>
    <mergeCell ref="A9:A10"/>
    <mergeCell ref="B9:B10"/>
    <mergeCell ref="A14:A15"/>
    <mergeCell ref="B14:B15"/>
    <mergeCell ref="A18:A19"/>
    <mergeCell ref="B18:B19"/>
    <mergeCell ref="B26:B27"/>
    <mergeCell ref="A26:A27"/>
    <mergeCell ref="A32:A33"/>
    <mergeCell ref="B32:B33"/>
    <mergeCell ref="A35:A36"/>
    <mergeCell ref="B35:B36"/>
    <mergeCell ref="A40:A41"/>
    <mergeCell ref="B40:B41"/>
    <mergeCell ref="A44:A46"/>
    <mergeCell ref="B44:B46"/>
    <mergeCell ref="A50:A51"/>
    <mergeCell ref="B50:B51"/>
    <mergeCell ref="A52:A53"/>
    <mergeCell ref="B52:B53"/>
    <mergeCell ref="B55:B57"/>
    <mergeCell ref="A55:A57"/>
    <mergeCell ref="A63:A64"/>
    <mergeCell ref="B63:B64"/>
    <mergeCell ref="A65:A66"/>
    <mergeCell ref="B65:B66"/>
    <mergeCell ref="A67:A68"/>
    <mergeCell ref="B67:B68"/>
    <mergeCell ref="A71:N71"/>
    <mergeCell ref="A72:E72"/>
    <mergeCell ref="F72:H72"/>
    <mergeCell ref="I72:N72"/>
    <mergeCell ref="A73:E73"/>
    <mergeCell ref="I73:N73"/>
    <mergeCell ref="I74:N74"/>
    <mergeCell ref="I75:N75"/>
    <mergeCell ref="I76:N76"/>
    <mergeCell ref="I77:N77"/>
    <mergeCell ref="I78:N78"/>
    <mergeCell ref="I79:N79"/>
    <mergeCell ref="I80:N80"/>
    <mergeCell ref="I81:N81"/>
  </mergeCells>
  <conditionalFormatting sqref="H25 H27 H34 H36 H47 H56 H62 H67">
    <cfRule type="containsText" dxfId="2" priority="1" operator="containsText" text="SO">
      <formula>NOT(ISERROR(SEARCH(("SO"),(H25))))</formula>
    </cfRule>
  </conditionalFormatting>
  <conditionalFormatting sqref="H25 H27 H34 H36 H47 H56 H62 H67">
    <cfRule type="containsText" dxfId="3" priority="2" operator="containsText" text="tegen">
      <formula>NOT(ISERROR(SEARCH(("tegen"),(H25))))</formula>
    </cfRule>
  </conditionalFormatting>
  <conditionalFormatting sqref="H25 H27 H34 H36 H47 H56 H62 H67">
    <cfRule type="containsText" dxfId="4" priority="3" operator="containsText" text="voor">
      <formula>NOT(ISERROR(SEARCH(("voor"),(H25))))</formula>
    </cfRule>
  </conditionalFormatting>
  <conditionalFormatting sqref="H25 H27 H34 H36 H47 H56 H62 H67">
    <cfRule type="cellIs" dxfId="5" priority="4" operator="equal">
      <formula>"NG"</formula>
    </cfRule>
  </conditionalFormatting>
  <conditionalFormatting sqref="H25 H27 H34 H36 H47 H56 H62 H67">
    <cfRule type="containsText" dxfId="6" priority="5" operator="containsText" text="NVT">
      <formula>NOT(ISERROR(SEARCH(("NVT"),(H25))))</formula>
    </cfRule>
  </conditionalFormatting>
  <drawing r:id="rId1"/>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CC4125"/>
    <outlinePr summaryBelow="0" summaryRight="0"/>
  </sheetPr>
  <sheetViews>
    <sheetView workbookViewId="0">
      <pane xSplit="3.0" ySplit="6.0" topLeftCell="D7" activePane="bottomRight" state="frozen"/>
      <selection activeCell="D1" sqref="D1" pane="topRight"/>
      <selection activeCell="A7" sqref="A7" pane="bottomLeft"/>
      <selection activeCell="D7" sqref="D7" pane="bottomRight"/>
    </sheetView>
  </sheetViews>
  <sheetFormatPr customHeight="1" defaultColWidth="14.43" defaultRowHeight="15.75"/>
  <cols>
    <col customWidth="1" min="1" max="1" width="10.86"/>
    <col customWidth="1" min="2" max="2" width="11.0"/>
    <col customWidth="1" min="3" max="3" width="26.29"/>
  </cols>
  <sheetData>
    <row r="1" ht="18.75" customHeight="1">
      <c r="A1" s="127" t="s">
        <v>126</v>
      </c>
      <c r="B1" s="128"/>
      <c r="C1" s="128"/>
      <c r="D1" s="128"/>
      <c r="E1" s="128"/>
      <c r="F1" s="128"/>
      <c r="G1" s="128"/>
      <c r="H1" s="128"/>
      <c r="I1" s="128"/>
      <c r="J1" s="128"/>
      <c r="K1" s="128"/>
      <c r="L1" s="128"/>
      <c r="M1" s="128"/>
      <c r="N1" s="128"/>
      <c r="O1" s="128"/>
      <c r="P1" s="128"/>
      <c r="Q1" s="128"/>
      <c r="R1" s="128"/>
      <c r="S1" s="129"/>
      <c r="T1" s="129"/>
      <c r="U1" s="129"/>
      <c r="V1" s="129"/>
      <c r="W1" s="129"/>
      <c r="X1" s="129"/>
      <c r="Y1" s="129"/>
      <c r="Z1" s="129"/>
      <c r="AA1" s="129"/>
      <c r="AB1" s="129"/>
      <c r="AC1" s="129"/>
      <c r="AD1" s="129"/>
      <c r="AE1" s="129"/>
      <c r="AF1" s="129"/>
      <c r="AG1" s="129"/>
      <c r="AH1" s="129"/>
      <c r="AI1" s="129"/>
    </row>
    <row r="2" ht="18.75" customHeight="1">
      <c r="A2" s="130" t="s">
        <v>1031</v>
      </c>
      <c r="B2" s="131"/>
      <c r="C2" s="132"/>
      <c r="D2" s="133" t="s">
        <v>1728</v>
      </c>
      <c r="E2" s="124"/>
      <c r="F2" s="124"/>
      <c r="G2" s="124"/>
      <c r="H2" s="124"/>
      <c r="I2" s="124"/>
      <c r="J2" s="124"/>
      <c r="K2" s="124"/>
      <c r="L2" s="124"/>
      <c r="M2" s="124"/>
      <c r="N2" s="124"/>
      <c r="O2" s="124"/>
      <c r="P2" s="124"/>
      <c r="Q2" s="124"/>
      <c r="R2" s="124"/>
      <c r="S2" s="124"/>
      <c r="T2" s="124"/>
      <c r="U2" s="124"/>
      <c r="V2" s="124"/>
      <c r="W2" s="124"/>
      <c r="X2" s="124"/>
      <c r="Y2" s="124"/>
      <c r="Z2" s="124"/>
      <c r="AA2" s="124"/>
      <c r="AB2" s="124"/>
      <c r="AC2" s="124"/>
      <c r="AD2" s="124"/>
      <c r="AE2" s="124"/>
      <c r="AF2" s="124"/>
      <c r="AG2" s="124"/>
      <c r="AH2" s="124"/>
      <c r="AI2" s="20"/>
    </row>
    <row r="3" ht="18.75" customHeight="1">
      <c r="A3" s="2342" t="s">
        <v>1803</v>
      </c>
      <c r="C3" s="135"/>
      <c r="D3" s="43"/>
      <c r="AI3" s="44"/>
    </row>
    <row r="4" ht="18.75" customHeight="1">
      <c r="C4" s="135"/>
      <c r="D4" s="26"/>
      <c r="E4" s="330"/>
      <c r="F4" s="330"/>
      <c r="G4" s="330"/>
      <c r="H4" s="330"/>
      <c r="I4" s="330"/>
      <c r="J4" s="330"/>
      <c r="K4" s="330"/>
      <c r="L4" s="330"/>
      <c r="M4" s="330"/>
      <c r="N4" s="330"/>
      <c r="O4" s="330"/>
      <c r="P4" s="330"/>
      <c r="Q4" s="330"/>
      <c r="R4" s="330"/>
      <c r="S4" s="330"/>
      <c r="T4" s="330"/>
      <c r="U4" s="330"/>
      <c r="V4" s="330"/>
      <c r="W4" s="330"/>
      <c r="X4" s="330"/>
      <c r="Y4" s="330"/>
      <c r="Z4" s="330"/>
      <c r="AA4" s="330"/>
      <c r="AB4" s="330"/>
      <c r="AC4" s="330"/>
      <c r="AD4" s="330"/>
      <c r="AE4" s="330"/>
      <c r="AF4" s="330"/>
      <c r="AG4" s="330"/>
      <c r="AH4" s="330"/>
      <c r="AI4" s="27"/>
    </row>
    <row r="5" ht="18.75" customHeight="1">
      <c r="A5" s="139" t="s">
        <v>86</v>
      </c>
      <c r="B5" s="140" t="s">
        <v>87</v>
      </c>
      <c r="C5" s="141" t="s">
        <v>88</v>
      </c>
      <c r="D5" s="2002" t="str">
        <f>HYPERLINK("https://www.reddit.com/r/RMTK/comments/d88vec/m0111_motie_tot_horecadienstplicht/","M0111")</f>
        <v>M0111</v>
      </c>
      <c r="E5" s="2002" t="str">
        <f>HYPERLINK("https://www.reddit.com/r/RMTK/comments/d8u34t/m0112_motie_tot_het_stimuleren_van_de_bouw_van/","M0112")</f>
        <v>M0112</v>
      </c>
      <c r="F5" s="2002" t="str">
        <f>HYPERLINK("https://www.reddit.com/r/RMTK/comments/dit9bu/w0041i_amendement_belastingwet_meervoudig/","W0041-I")</f>
        <v>W0041-I</v>
      </c>
      <c r="G5" s="2002" t="str">
        <f>HYPERLINK("https://www.reddit.com/r/RMTK/comments/djbute/w0042i_amendement_wet_tot_goedkeuring_aankoop/","W0042-I")</f>
        <v>W0042-I</v>
      </c>
      <c r="H5" s="2002" t="str">
        <f>HYPERLINK("https://www.reddit.com/r/RMTK/comments/d2a3yu/w0039_wetsvoorstel_versoepeling_opiumwet/","W0039")</f>
        <v>W0039</v>
      </c>
      <c r="I5" s="2002" t="str">
        <f>HYPERLINK("https://www.reddit.com/r/RMTK/comments/d9pe1o/w0043_wijziging_wetboek_van_strafrecht_artikel_23/","W0043")</f>
        <v>W0043</v>
      </c>
      <c r="J5" s="2002" t="str">
        <f>HYPERLINK("https://www.reddit.com/r/RMTK/comments/djsqad/m0114_motie_omtrent_het_mogelijke_finse/","M0114")</f>
        <v>M0114</v>
      </c>
      <c r="K5" s="2002" t="str">
        <f>HYPERLINK("https://www.reddit.com/r/RMTK/comments/dkz8sk/m0115_motie_van_treurnis_omtrent_de_voornemens/","M0115")</f>
        <v>M0115</v>
      </c>
      <c r="L5" s="2002" t="str">
        <f>HYPERLINK("https://www.reddit.com/r/RMTK/comments/dml67f/m0116_motie_tot_verlaging_van_de_aowleeftijd_naar/","M0116")</f>
        <v>M0116</v>
      </c>
      <c r="M5" s="2002" t="str">
        <f>HYPERLINK("https://www.reddit.com/r/RMTK/comments/d88tka/w0041_belastingwet_meervoudig_woningbezit/","W0041")</f>
        <v>W0041</v>
      </c>
      <c r="N5" s="2002" t="str">
        <f>HYPERLINK("https://www.reddit.com/r/RMTK/comments/d93cgv/w0042_wet_tot_goedkeuring_aankoop_vijf_f35a_2019/","W0042")</f>
        <v>W0042</v>
      </c>
      <c r="O5" s="2002" t="str">
        <f>HYPERLINK("https://www.reddit.com/r/RMTK/comments/dkz3ba/w0043_intrekkingswet_accijnswet/","W0044")</f>
        <v>W0044</v>
      </c>
      <c r="P5" s="2002" t="str">
        <f>HYPERLINK("https://www.reddit.com/r/RMTK/comments/dm1lyl/w0044_noodwet_stikfstofverbindingsproblematiek/","W0045")</f>
        <v>W0045</v>
      </c>
      <c r="Q5" s="2002" t="str">
        <f>HYPERLINK("https://www.reddit.com/r/RMTK/comments/dotujc/m0117_motie_omtrent_een_bindend_correctief/","M0117")</f>
        <v>M0117</v>
      </c>
      <c r="R5" s="2002" t="str">
        <f>HYPERLINK("https://www.reddit.com/r/RMTK/comments/dp857b/m0118_motie_tot_het_maken_van_een_vrije_dag_van/","M0118")</f>
        <v>M0118</v>
      </c>
      <c r="S5" s="2002" t="str">
        <f>HYPERLINK("https://www.reddit.com/r/RMTK/comments/dpnpjp/m0119_motie_tot_toevoeging/","M0119")</f>
        <v>M0119</v>
      </c>
      <c r="T5" s="2002" t="str">
        <f>HYPERLINK("https://www.reddit.com/r/RMTK/comments/drl0sa/m0120_motie_tot_de_aanpak_van_intensieve/","M0120")</f>
        <v>M0120</v>
      </c>
      <c r="U5" s="2002" t="str">
        <f>HYPERLINK("https://www.reddit.com/r/RMTK/comments/dt2s9z/m0121_motie_aangaande_het_opschorten_van_het/","M0121")</f>
        <v>M0121</v>
      </c>
      <c r="V5" s="2002" t="str">
        <f>HYPERLINK("https://www.reddit.com/r/RMTK/comments/ds2nrf/w0046_rijksbegroting_2020_buitenlandse_zaken/","W0046")</f>
        <v>W0046</v>
      </c>
      <c r="W5" s="2002" t="str">
        <f>HYPERLINK("https://www.reddit.com/r/RMTK/comments/ds2nu7/w0047_rijksbegroting_2020_defensie_en/","W0047")</f>
        <v>W0047</v>
      </c>
      <c r="X5" s="2002" t="str">
        <f>HYPERLINK("https://www.reddit.com/r/RMTK/comments/dtj67r/w0048i_amendement_sanctiewet_republiek_turkije/","W0048-I")</f>
        <v>W0048-I</v>
      </c>
      <c r="Y5" s="2002" t="str">
        <f>HYPERLINK("https://www.reddit.com/r/RMTK/comments/dtjaf2/amendement_sanctiewet_republiek_turkije_turkse/","W0048-II")</f>
        <v>W0048-II</v>
      </c>
      <c r="Z5" s="2002" t="str">
        <f>HYPERLINK("https://www.reddit.com/r/RMTK/comments/duvmyy/m0122_motie_tot_een_totaalverbod_op/","M0122")</f>
        <v>M0122</v>
      </c>
      <c r="AA5" s="2002" t="str">
        <f>HYPERLINK("https://www.reddit.com/r/RMTK/comments/dvhfjp/w0049_wetswijziging_tot_toestaan_polyamorisch/","W0049")</f>
        <v>W0049</v>
      </c>
      <c r="AB5" s="2002" t="str">
        <f>HYPERLINK("https://www.reddit.com/r/RMTK/comments/dvxgay/w0050_intrekkingswetsvoorstel_wetswijzing/","W0050")</f>
        <v>W0050</v>
      </c>
      <c r="AC5" s="2002" t="str">
        <f>HYPERLINK("https://www.reddit.com/r/RMTK/comments/dwce3f/w0051_wijziging_van_de_grondwet_vanwege_het/","W0051")</f>
        <v>W0051</v>
      </c>
      <c r="AD5" s="2002" t="str">
        <f>hyperlink("https://www.reddit.com/r/RMTK/comments/e0q3ef/w0048_sanctiewet_republiek_turkije_2019/?","W0048")</f>
        <v>W0048</v>
      </c>
      <c r="AE5" s="2002" t="str">
        <f>hyperlink("https://www.reddit.com/r/RMTK/comments/dy8slq/w0052_wetswijziging_ter_afschaffing_van_de/","W0052")</f>
        <v>W0052</v>
      </c>
      <c r="AF5" s="2002" t="str">
        <f>hyperlink("https://www.reddit.com/r/RMTK/comments/dynhk0/m0124_motie_tot_onderzoek_naar_gedecentraliseerde/","M0124")</f>
        <v>M0124</v>
      </c>
      <c r="AG5" s="2002" t="str">
        <f>hyperlink("https://www.reddit.com/r/RMTK/comments/dz8jqi/m0125_motie_tot_terughalen_irak_en_syri%C3%ABgangers/","M0125")</f>
        <v>M0125</v>
      </c>
      <c r="AH5" s="2002" t="str">
        <f>hyperlink("https://www.reddit.com/r/RMTK/comments/dzl2ov/w0053_wet_bestrijding_friese_terreur/","W0053")</f>
        <v>W0053</v>
      </c>
      <c r="AI5" s="2002" t="str">
        <f>hyperlink("https://www.reddit.com/r/RMTK/comments/dzpvs1/m0130_motie_van_wantrouwen_jegens_kabinet_house/","M0130")</f>
        <v>M0130</v>
      </c>
    </row>
    <row r="6" ht="6.0" customHeight="1">
      <c r="A6" s="145"/>
      <c r="B6" s="146"/>
      <c r="C6" s="146"/>
      <c r="D6" s="147"/>
      <c r="E6" s="2018"/>
      <c r="F6" s="2018"/>
      <c r="G6" s="2018"/>
      <c r="H6" s="2018"/>
      <c r="I6" s="2018"/>
      <c r="J6" s="2018"/>
      <c r="K6" s="2018"/>
      <c r="L6" s="2018"/>
      <c r="M6" s="2018"/>
      <c r="N6" s="2018"/>
      <c r="O6" s="2018"/>
      <c r="P6" s="2018"/>
      <c r="Q6" s="2018"/>
      <c r="R6" s="2018"/>
      <c r="S6" s="2018"/>
      <c r="T6" s="2018"/>
      <c r="U6" s="2018"/>
      <c r="V6" s="2018"/>
      <c r="W6" s="2018"/>
      <c r="X6" s="2018"/>
      <c r="Y6" s="2018"/>
      <c r="Z6" s="2018"/>
      <c r="AA6" s="2018"/>
      <c r="AB6" s="2018"/>
      <c r="AC6" s="2018"/>
      <c r="AD6" s="2018"/>
      <c r="AE6" s="2018"/>
      <c r="AF6" s="2018"/>
      <c r="AG6" s="2018"/>
      <c r="AH6" s="2018"/>
      <c r="AI6" s="2018"/>
    </row>
    <row r="7" ht="18.75" customHeight="1">
      <c r="A7" s="149" t="s">
        <v>1804</v>
      </c>
      <c r="B7" s="2227" t="s">
        <v>375</v>
      </c>
      <c r="C7" s="2343" t="s">
        <v>197</v>
      </c>
      <c r="D7" s="252" t="s">
        <v>92</v>
      </c>
      <c r="E7" s="252" t="s">
        <v>91</v>
      </c>
      <c r="F7" s="252" t="s">
        <v>91</v>
      </c>
      <c r="G7" s="252" t="s">
        <v>92</v>
      </c>
      <c r="H7" s="252" t="s">
        <v>91</v>
      </c>
      <c r="I7" s="402" t="s">
        <v>91</v>
      </c>
      <c r="J7" s="252" t="s">
        <v>92</v>
      </c>
      <c r="K7" s="252" t="s">
        <v>92</v>
      </c>
      <c r="L7" s="252" t="s">
        <v>92</v>
      </c>
      <c r="M7" s="252" t="s">
        <v>91</v>
      </c>
      <c r="N7" s="252" t="s">
        <v>91</v>
      </c>
      <c r="O7" s="252" t="s">
        <v>92</v>
      </c>
      <c r="P7" s="402" t="s">
        <v>91</v>
      </c>
      <c r="Q7" s="252" t="s">
        <v>92</v>
      </c>
      <c r="R7" s="252" t="s">
        <v>91</v>
      </c>
      <c r="S7" s="402" t="s">
        <v>91</v>
      </c>
      <c r="T7" s="252" t="s">
        <v>93</v>
      </c>
      <c r="U7" s="252" t="s">
        <v>93</v>
      </c>
      <c r="V7" s="252" t="s">
        <v>93</v>
      </c>
      <c r="W7" s="402" t="s">
        <v>93</v>
      </c>
      <c r="X7" s="252" t="s">
        <v>93</v>
      </c>
      <c r="Y7" s="252" t="s">
        <v>93</v>
      </c>
      <c r="Z7" s="252" t="s">
        <v>93</v>
      </c>
      <c r="AA7" s="252" t="s">
        <v>93</v>
      </c>
      <c r="AB7" s="252" t="s">
        <v>93</v>
      </c>
      <c r="AC7" s="402" t="s">
        <v>93</v>
      </c>
      <c r="AD7" s="2225" t="s">
        <v>93</v>
      </c>
      <c r="AE7" s="2036" t="s">
        <v>93</v>
      </c>
      <c r="AF7" s="2036" t="s">
        <v>93</v>
      </c>
      <c r="AG7" s="2036" t="s">
        <v>93</v>
      </c>
      <c r="AH7" s="2036" t="s">
        <v>93</v>
      </c>
      <c r="AI7" s="2218" t="s">
        <v>93</v>
      </c>
    </row>
    <row r="8" ht="18.75" customHeight="1">
      <c r="A8" s="158"/>
      <c r="B8" s="135"/>
      <c r="C8" s="2228" t="s">
        <v>206</v>
      </c>
      <c r="D8" s="252" t="s">
        <v>92</v>
      </c>
      <c r="E8" s="252" t="s">
        <v>91</v>
      </c>
      <c r="F8" s="252" t="s">
        <v>91</v>
      </c>
      <c r="G8" s="252" t="s">
        <v>92</v>
      </c>
      <c r="H8" s="252" t="s">
        <v>91</v>
      </c>
      <c r="I8" s="402" t="s">
        <v>91</v>
      </c>
      <c r="J8" s="252" t="s">
        <v>117</v>
      </c>
      <c r="K8" s="252" t="s">
        <v>92</v>
      </c>
      <c r="L8" s="252" t="s">
        <v>92</v>
      </c>
      <c r="M8" s="252" t="s">
        <v>91</v>
      </c>
      <c r="N8" s="252" t="s">
        <v>91</v>
      </c>
      <c r="O8" s="252" t="s">
        <v>92</v>
      </c>
      <c r="P8" s="402" t="s">
        <v>91</v>
      </c>
      <c r="Q8" s="252" t="s">
        <v>92</v>
      </c>
      <c r="R8" s="252" t="s">
        <v>91</v>
      </c>
      <c r="S8" s="402" t="s">
        <v>91</v>
      </c>
      <c r="T8" s="252" t="s">
        <v>91</v>
      </c>
      <c r="U8" s="252" t="s">
        <v>91</v>
      </c>
      <c r="V8" s="252" t="s">
        <v>91</v>
      </c>
      <c r="W8" s="402" t="s">
        <v>91</v>
      </c>
      <c r="X8" s="252" t="s">
        <v>91</v>
      </c>
      <c r="Y8" s="252" t="s">
        <v>91</v>
      </c>
      <c r="Z8" s="252" t="s">
        <v>92</v>
      </c>
      <c r="AA8" s="252" t="s">
        <v>91</v>
      </c>
      <c r="AB8" s="252" t="s">
        <v>91</v>
      </c>
      <c r="AC8" s="402" t="s">
        <v>92</v>
      </c>
      <c r="AD8" s="252" t="s">
        <v>91</v>
      </c>
      <c r="AE8" s="252" t="s">
        <v>91</v>
      </c>
      <c r="AF8" s="252" t="s">
        <v>91</v>
      </c>
      <c r="AG8" s="252" t="s">
        <v>92</v>
      </c>
      <c r="AH8" s="252" t="s">
        <v>92</v>
      </c>
      <c r="AI8" s="252" t="s">
        <v>92</v>
      </c>
    </row>
    <row r="9" ht="18.75" customHeight="1">
      <c r="A9" s="158"/>
      <c r="B9" s="135"/>
      <c r="C9" s="2343" t="s">
        <v>244</v>
      </c>
      <c r="D9" s="252" t="s">
        <v>92</v>
      </c>
      <c r="E9" s="252" t="s">
        <v>91</v>
      </c>
      <c r="F9" s="252" t="s">
        <v>91</v>
      </c>
      <c r="G9" s="252" t="s">
        <v>92</v>
      </c>
      <c r="H9" s="252" t="s">
        <v>91</v>
      </c>
      <c r="I9" s="402" t="s">
        <v>91</v>
      </c>
      <c r="J9" s="252" t="s">
        <v>93</v>
      </c>
      <c r="K9" s="252" t="s">
        <v>93</v>
      </c>
      <c r="L9" s="252" t="s">
        <v>93</v>
      </c>
      <c r="M9" s="252" t="s">
        <v>93</v>
      </c>
      <c r="N9" s="252" t="s">
        <v>93</v>
      </c>
      <c r="O9" s="252" t="s">
        <v>93</v>
      </c>
      <c r="P9" s="402" t="s">
        <v>93</v>
      </c>
      <c r="Q9" s="252" t="s">
        <v>118</v>
      </c>
      <c r="R9" s="252" t="s">
        <v>118</v>
      </c>
      <c r="S9" s="402" t="s">
        <v>118</v>
      </c>
      <c r="T9" s="252" t="s">
        <v>118</v>
      </c>
      <c r="U9" s="252" t="s">
        <v>118</v>
      </c>
      <c r="V9" s="252" t="s">
        <v>118</v>
      </c>
      <c r="W9" s="402" t="s">
        <v>118</v>
      </c>
      <c r="X9" s="252" t="s">
        <v>118</v>
      </c>
      <c r="Y9" s="252" t="s">
        <v>118</v>
      </c>
      <c r="Z9" s="252" t="s">
        <v>118</v>
      </c>
      <c r="AA9" s="252" t="s">
        <v>118</v>
      </c>
      <c r="AB9" s="252" t="s">
        <v>118</v>
      </c>
      <c r="AC9" s="402" t="s">
        <v>118</v>
      </c>
      <c r="AD9" s="252" t="s">
        <v>118</v>
      </c>
      <c r="AE9" s="252" t="s">
        <v>118</v>
      </c>
      <c r="AF9" s="252" t="s">
        <v>118</v>
      </c>
      <c r="AG9" s="252" t="s">
        <v>118</v>
      </c>
      <c r="AH9" s="252" t="s">
        <v>118</v>
      </c>
      <c r="AI9" s="252" t="s">
        <v>118</v>
      </c>
    </row>
    <row r="10" ht="18.75" customHeight="1">
      <c r="A10" s="158"/>
      <c r="B10" s="135"/>
      <c r="C10" s="2229" t="s">
        <v>440</v>
      </c>
      <c r="D10" s="252" t="s">
        <v>118</v>
      </c>
      <c r="E10" s="252" t="s">
        <v>118</v>
      </c>
      <c r="F10" s="252" t="s">
        <v>118</v>
      </c>
      <c r="G10" s="252" t="s">
        <v>118</v>
      </c>
      <c r="H10" s="252" t="s">
        <v>118</v>
      </c>
      <c r="I10" s="402" t="s">
        <v>118</v>
      </c>
      <c r="J10" s="252" t="s">
        <v>118</v>
      </c>
      <c r="K10" s="252" t="s">
        <v>118</v>
      </c>
      <c r="L10" s="252" t="s">
        <v>118</v>
      </c>
      <c r="M10" s="252" t="s">
        <v>118</v>
      </c>
      <c r="N10" s="252" t="s">
        <v>118</v>
      </c>
      <c r="O10" s="252" t="s">
        <v>118</v>
      </c>
      <c r="P10" s="402" t="s">
        <v>118</v>
      </c>
      <c r="Q10" s="252" t="s">
        <v>92</v>
      </c>
      <c r="R10" s="252" t="s">
        <v>91</v>
      </c>
      <c r="S10" s="402" t="s">
        <v>91</v>
      </c>
      <c r="T10" s="252" t="s">
        <v>91</v>
      </c>
      <c r="U10" s="252" t="s">
        <v>92</v>
      </c>
      <c r="V10" s="252" t="s">
        <v>91</v>
      </c>
      <c r="W10" s="402" t="s">
        <v>91</v>
      </c>
      <c r="X10" s="252" t="s">
        <v>92</v>
      </c>
      <c r="Y10" s="252" t="s">
        <v>92</v>
      </c>
      <c r="Z10" s="252" t="s">
        <v>91</v>
      </c>
      <c r="AA10" s="252" t="s">
        <v>92</v>
      </c>
      <c r="AB10" s="252" t="s">
        <v>91</v>
      </c>
      <c r="AC10" s="402" t="s">
        <v>92</v>
      </c>
      <c r="AD10" s="252" t="s">
        <v>92</v>
      </c>
      <c r="AE10" s="252" t="s">
        <v>92</v>
      </c>
      <c r="AF10" s="252" t="s">
        <v>91</v>
      </c>
      <c r="AG10" s="252" t="s">
        <v>91</v>
      </c>
      <c r="AH10" s="252" t="s">
        <v>92</v>
      </c>
      <c r="AI10" s="252" t="s">
        <v>92</v>
      </c>
    </row>
    <row r="11" ht="18.75" customHeight="1">
      <c r="A11" s="158"/>
      <c r="B11" s="135"/>
      <c r="C11" s="2230" t="s">
        <v>1342</v>
      </c>
      <c r="D11" s="252" t="s">
        <v>92</v>
      </c>
      <c r="E11" s="252" t="s">
        <v>91</v>
      </c>
      <c r="F11" s="252" t="s">
        <v>91</v>
      </c>
      <c r="G11" s="252" t="s">
        <v>92</v>
      </c>
      <c r="H11" s="252" t="s">
        <v>91</v>
      </c>
      <c r="I11" s="402" t="s">
        <v>91</v>
      </c>
      <c r="J11" s="252" t="s">
        <v>92</v>
      </c>
      <c r="K11" s="252" t="s">
        <v>92</v>
      </c>
      <c r="L11" s="252" t="s">
        <v>92</v>
      </c>
      <c r="M11" s="252" t="s">
        <v>91</v>
      </c>
      <c r="N11" s="252" t="s">
        <v>91</v>
      </c>
      <c r="O11" s="252" t="s">
        <v>92</v>
      </c>
      <c r="P11" s="402" t="s">
        <v>91</v>
      </c>
      <c r="Q11" s="252" t="s">
        <v>92</v>
      </c>
      <c r="R11" s="252" t="s">
        <v>91</v>
      </c>
      <c r="S11" s="402" t="s">
        <v>91</v>
      </c>
      <c r="T11" s="252" t="s">
        <v>91</v>
      </c>
      <c r="U11" s="252" t="s">
        <v>91</v>
      </c>
      <c r="V11" s="252" t="s">
        <v>91</v>
      </c>
      <c r="W11" s="402" t="s">
        <v>91</v>
      </c>
      <c r="X11" s="252" t="s">
        <v>91</v>
      </c>
      <c r="Y11" s="252" t="s">
        <v>91</v>
      </c>
      <c r="Z11" s="252" t="s">
        <v>92</v>
      </c>
      <c r="AA11" s="252" t="s">
        <v>92</v>
      </c>
      <c r="AB11" s="252" t="s">
        <v>91</v>
      </c>
      <c r="AC11" s="402" t="s">
        <v>92</v>
      </c>
      <c r="AD11" s="252" t="s">
        <v>93</v>
      </c>
      <c r="AE11" s="252" t="s">
        <v>93</v>
      </c>
      <c r="AF11" s="252" t="s">
        <v>93</v>
      </c>
      <c r="AG11" s="252" t="s">
        <v>93</v>
      </c>
      <c r="AH11" s="252" t="s">
        <v>93</v>
      </c>
      <c r="AI11" s="252" t="s">
        <v>93</v>
      </c>
    </row>
    <row r="12" ht="18.75" customHeight="1">
      <c r="A12" s="158"/>
      <c r="B12" s="2344" t="s">
        <v>320</v>
      </c>
      <c r="C12" s="2345" t="s">
        <v>306</v>
      </c>
      <c r="D12" s="252" t="s">
        <v>92</v>
      </c>
      <c r="E12" s="252" t="s">
        <v>91</v>
      </c>
      <c r="F12" s="252" t="s">
        <v>91</v>
      </c>
      <c r="G12" s="252" t="s">
        <v>92</v>
      </c>
      <c r="H12" s="252" t="s">
        <v>91</v>
      </c>
      <c r="I12" s="402" t="s">
        <v>91</v>
      </c>
      <c r="J12" s="252" t="s">
        <v>91</v>
      </c>
      <c r="K12" s="252" t="s">
        <v>92</v>
      </c>
      <c r="L12" s="252" t="s">
        <v>92</v>
      </c>
      <c r="M12" s="252" t="s">
        <v>91</v>
      </c>
      <c r="N12" s="252" t="s">
        <v>91</v>
      </c>
      <c r="O12" s="252" t="s">
        <v>92</v>
      </c>
      <c r="P12" s="402" t="s">
        <v>91</v>
      </c>
      <c r="Q12" s="252" t="s">
        <v>92</v>
      </c>
      <c r="R12" s="252" t="s">
        <v>91</v>
      </c>
      <c r="S12" s="402" t="s">
        <v>91</v>
      </c>
      <c r="T12" s="252" t="s">
        <v>91</v>
      </c>
      <c r="U12" s="252" t="s">
        <v>91</v>
      </c>
      <c r="V12" s="252" t="s">
        <v>91</v>
      </c>
      <c r="W12" s="402" t="s">
        <v>91</v>
      </c>
      <c r="X12" s="252" t="s">
        <v>118</v>
      </c>
      <c r="Y12" s="252" t="s">
        <v>118</v>
      </c>
      <c r="Z12" s="252" t="s">
        <v>118</v>
      </c>
      <c r="AA12" s="252" t="s">
        <v>118</v>
      </c>
      <c r="AB12" s="252" t="s">
        <v>118</v>
      </c>
      <c r="AC12" s="402" t="s">
        <v>118</v>
      </c>
      <c r="AD12" s="252" t="s">
        <v>118</v>
      </c>
      <c r="AE12" s="252" t="s">
        <v>118</v>
      </c>
      <c r="AF12" s="252" t="s">
        <v>118</v>
      </c>
      <c r="AG12" s="252" t="s">
        <v>118</v>
      </c>
      <c r="AH12" s="252" t="s">
        <v>118</v>
      </c>
      <c r="AI12" s="252" t="s">
        <v>118</v>
      </c>
    </row>
    <row r="13" ht="18.75" customHeight="1">
      <c r="A13" s="158"/>
      <c r="B13" s="135"/>
      <c r="C13" s="2346" t="s">
        <v>1805</v>
      </c>
      <c r="D13" s="252" t="s">
        <v>118</v>
      </c>
      <c r="E13" s="252" t="s">
        <v>118</v>
      </c>
      <c r="F13" s="252" t="s">
        <v>118</v>
      </c>
      <c r="G13" s="252" t="s">
        <v>118</v>
      </c>
      <c r="H13" s="252" t="s">
        <v>118</v>
      </c>
      <c r="I13" s="402" t="s">
        <v>118</v>
      </c>
      <c r="J13" s="252" t="s">
        <v>118</v>
      </c>
      <c r="K13" s="252" t="s">
        <v>118</v>
      </c>
      <c r="L13" s="252" t="s">
        <v>118</v>
      </c>
      <c r="M13" s="252" t="s">
        <v>118</v>
      </c>
      <c r="N13" s="252" t="s">
        <v>118</v>
      </c>
      <c r="O13" s="252" t="s">
        <v>118</v>
      </c>
      <c r="P13" s="402" t="s">
        <v>118</v>
      </c>
      <c r="Q13" s="252" t="s">
        <v>118</v>
      </c>
      <c r="R13" s="252" t="s">
        <v>118</v>
      </c>
      <c r="S13" s="402" t="s">
        <v>118</v>
      </c>
      <c r="T13" s="252" t="s">
        <v>118</v>
      </c>
      <c r="U13" s="252" t="s">
        <v>118</v>
      </c>
      <c r="V13" s="252" t="s">
        <v>118</v>
      </c>
      <c r="W13" s="402" t="s">
        <v>118</v>
      </c>
      <c r="X13" s="252" t="s">
        <v>93</v>
      </c>
      <c r="Y13" s="252" t="s">
        <v>93</v>
      </c>
      <c r="Z13" s="252" t="s">
        <v>93</v>
      </c>
      <c r="AA13" s="252" t="s">
        <v>93</v>
      </c>
      <c r="AB13" s="252" t="s">
        <v>93</v>
      </c>
      <c r="AC13" s="402" t="s">
        <v>93</v>
      </c>
      <c r="AD13" s="252" t="s">
        <v>93</v>
      </c>
      <c r="AE13" s="252" t="s">
        <v>93</v>
      </c>
      <c r="AF13" s="252" t="s">
        <v>93</v>
      </c>
      <c r="AG13" s="252" t="s">
        <v>93</v>
      </c>
      <c r="AH13" s="252" t="s">
        <v>93</v>
      </c>
      <c r="AI13" s="252" t="s">
        <v>93</v>
      </c>
    </row>
    <row r="14" ht="18.75" customHeight="1">
      <c r="A14" s="158"/>
      <c r="B14" s="135"/>
      <c r="C14" s="2347" t="s">
        <v>294</v>
      </c>
      <c r="D14" s="252" t="s">
        <v>92</v>
      </c>
      <c r="E14" s="252" t="s">
        <v>91</v>
      </c>
      <c r="F14" s="252" t="s">
        <v>91</v>
      </c>
      <c r="G14" s="252" t="s">
        <v>92</v>
      </c>
      <c r="H14" s="252" t="s">
        <v>91</v>
      </c>
      <c r="I14" s="402" t="s">
        <v>117</v>
      </c>
      <c r="J14" s="252" t="s">
        <v>91</v>
      </c>
      <c r="K14" s="252" t="s">
        <v>92</v>
      </c>
      <c r="L14" s="252" t="s">
        <v>92</v>
      </c>
      <c r="M14" s="252" t="s">
        <v>91</v>
      </c>
      <c r="N14" s="252" t="s">
        <v>91</v>
      </c>
      <c r="O14" s="252" t="s">
        <v>92</v>
      </c>
      <c r="P14" s="402" t="s">
        <v>91</v>
      </c>
      <c r="Q14" s="252" t="s">
        <v>92</v>
      </c>
      <c r="R14" s="252" t="s">
        <v>91</v>
      </c>
      <c r="S14" s="402" t="s">
        <v>91</v>
      </c>
      <c r="T14" s="252" t="s">
        <v>91</v>
      </c>
      <c r="U14" s="252" t="s">
        <v>91</v>
      </c>
      <c r="V14" s="252" t="s">
        <v>91</v>
      </c>
      <c r="W14" s="402" t="s">
        <v>91</v>
      </c>
      <c r="X14" s="252" t="s">
        <v>117</v>
      </c>
      <c r="Y14" s="252" t="s">
        <v>91</v>
      </c>
      <c r="Z14" s="252" t="s">
        <v>91</v>
      </c>
      <c r="AA14" s="252" t="s">
        <v>91</v>
      </c>
      <c r="AB14" s="252" t="s">
        <v>91</v>
      </c>
      <c r="AC14" s="402" t="s">
        <v>92</v>
      </c>
      <c r="AD14" s="252" t="s">
        <v>91</v>
      </c>
      <c r="AE14" s="252" t="s">
        <v>91</v>
      </c>
      <c r="AF14" s="252" t="s">
        <v>91</v>
      </c>
      <c r="AG14" s="252" t="s">
        <v>91</v>
      </c>
      <c r="AH14" s="252" t="s">
        <v>92</v>
      </c>
      <c r="AI14" s="252" t="s">
        <v>92</v>
      </c>
    </row>
    <row r="15" ht="18.75" customHeight="1">
      <c r="A15" s="158"/>
      <c r="B15" s="135"/>
      <c r="C15" s="2345" t="s">
        <v>1350</v>
      </c>
      <c r="D15" s="252" t="s">
        <v>93</v>
      </c>
      <c r="E15" s="252" t="s">
        <v>93</v>
      </c>
      <c r="F15" s="252" t="s">
        <v>93</v>
      </c>
      <c r="G15" s="252" t="s">
        <v>93</v>
      </c>
      <c r="H15" s="252" t="s">
        <v>93</v>
      </c>
      <c r="I15" s="402" t="s">
        <v>93</v>
      </c>
      <c r="J15" s="252" t="s">
        <v>93</v>
      </c>
      <c r="K15" s="252" t="s">
        <v>93</v>
      </c>
      <c r="L15" s="252" t="s">
        <v>93</v>
      </c>
      <c r="M15" s="252" t="s">
        <v>93</v>
      </c>
      <c r="N15" s="252" t="s">
        <v>93</v>
      </c>
      <c r="O15" s="252" t="s">
        <v>93</v>
      </c>
      <c r="P15" s="402" t="s">
        <v>93</v>
      </c>
      <c r="Q15" s="252" t="s">
        <v>93</v>
      </c>
      <c r="R15" s="252" t="s">
        <v>93</v>
      </c>
      <c r="S15" s="402" t="s">
        <v>93</v>
      </c>
      <c r="T15" s="252" t="s">
        <v>93</v>
      </c>
      <c r="U15" s="252" t="s">
        <v>93</v>
      </c>
      <c r="V15" s="252" t="s">
        <v>93</v>
      </c>
      <c r="W15" s="402" t="s">
        <v>93</v>
      </c>
      <c r="X15" s="252" t="s">
        <v>93</v>
      </c>
      <c r="Y15" s="252" t="s">
        <v>93</v>
      </c>
      <c r="Z15" s="252" t="s">
        <v>93</v>
      </c>
      <c r="AA15" s="252" t="s">
        <v>93</v>
      </c>
      <c r="AB15" s="252" t="s">
        <v>93</v>
      </c>
      <c r="AC15" s="402" t="s">
        <v>93</v>
      </c>
      <c r="AD15" s="252" t="s">
        <v>118</v>
      </c>
      <c r="AE15" s="252" t="s">
        <v>118</v>
      </c>
      <c r="AF15" s="252" t="s">
        <v>118</v>
      </c>
      <c r="AG15" s="252" t="s">
        <v>118</v>
      </c>
      <c r="AH15" s="252" t="s">
        <v>118</v>
      </c>
      <c r="AI15" s="252" t="s">
        <v>118</v>
      </c>
    </row>
    <row r="16" ht="18.75" customHeight="1">
      <c r="A16" s="158"/>
      <c r="B16" s="135"/>
      <c r="C16" s="2346" t="s">
        <v>1146</v>
      </c>
      <c r="D16" s="252" t="s">
        <v>118</v>
      </c>
      <c r="E16" s="252" t="s">
        <v>118</v>
      </c>
      <c r="F16" s="252" t="s">
        <v>118</v>
      </c>
      <c r="G16" s="252" t="s">
        <v>118</v>
      </c>
      <c r="H16" s="252" t="s">
        <v>118</v>
      </c>
      <c r="I16" s="402" t="s">
        <v>118</v>
      </c>
      <c r="J16" s="252" t="s">
        <v>118</v>
      </c>
      <c r="K16" s="252" t="s">
        <v>118</v>
      </c>
      <c r="L16" s="252" t="s">
        <v>118</v>
      </c>
      <c r="M16" s="252" t="s">
        <v>118</v>
      </c>
      <c r="N16" s="252" t="s">
        <v>118</v>
      </c>
      <c r="O16" s="252" t="s">
        <v>118</v>
      </c>
      <c r="P16" s="402" t="s">
        <v>118</v>
      </c>
      <c r="Q16" s="252" t="s">
        <v>118</v>
      </c>
      <c r="R16" s="252" t="s">
        <v>118</v>
      </c>
      <c r="S16" s="402" t="s">
        <v>118</v>
      </c>
      <c r="T16" s="252" t="s">
        <v>118</v>
      </c>
      <c r="U16" s="252" t="s">
        <v>118</v>
      </c>
      <c r="V16" s="252" t="s">
        <v>118</v>
      </c>
      <c r="W16" s="402" t="s">
        <v>118</v>
      </c>
      <c r="X16" s="252" t="s">
        <v>118</v>
      </c>
      <c r="Y16" s="252" t="s">
        <v>118</v>
      </c>
      <c r="Z16" s="252" t="s">
        <v>118</v>
      </c>
      <c r="AA16" s="252" t="s">
        <v>118</v>
      </c>
      <c r="AB16" s="252" t="s">
        <v>118</v>
      </c>
      <c r="AC16" s="402" t="s">
        <v>118</v>
      </c>
      <c r="AD16" s="252" t="s">
        <v>93</v>
      </c>
      <c r="AE16" s="252" t="s">
        <v>93</v>
      </c>
      <c r="AF16" s="252" t="s">
        <v>93</v>
      </c>
      <c r="AG16" s="252" t="s">
        <v>93</v>
      </c>
      <c r="AH16" s="252" t="s">
        <v>93</v>
      </c>
      <c r="AI16" s="252" t="s">
        <v>93</v>
      </c>
    </row>
    <row r="17" ht="18.75" customHeight="1">
      <c r="A17" s="158"/>
      <c r="B17" s="135"/>
      <c r="C17" s="2345" t="s">
        <v>1352</v>
      </c>
      <c r="D17" s="252" t="s">
        <v>93</v>
      </c>
      <c r="E17" s="252" t="s">
        <v>93</v>
      </c>
      <c r="F17" s="252" t="s">
        <v>93</v>
      </c>
      <c r="G17" s="252" t="s">
        <v>93</v>
      </c>
      <c r="H17" s="252" t="s">
        <v>93</v>
      </c>
      <c r="I17" s="402" t="s">
        <v>93</v>
      </c>
      <c r="J17" s="252" t="s">
        <v>118</v>
      </c>
      <c r="K17" s="252" t="s">
        <v>118</v>
      </c>
      <c r="L17" s="252" t="s">
        <v>118</v>
      </c>
      <c r="M17" s="252" t="s">
        <v>118</v>
      </c>
      <c r="N17" s="252" t="s">
        <v>118</v>
      </c>
      <c r="O17" s="252" t="s">
        <v>118</v>
      </c>
      <c r="P17" s="402" t="s">
        <v>118</v>
      </c>
      <c r="Q17" s="252" t="s">
        <v>118</v>
      </c>
      <c r="R17" s="252" t="s">
        <v>118</v>
      </c>
      <c r="S17" s="402" t="s">
        <v>118</v>
      </c>
      <c r="T17" s="252" t="s">
        <v>118</v>
      </c>
      <c r="U17" s="252" t="s">
        <v>118</v>
      </c>
      <c r="V17" s="252" t="s">
        <v>118</v>
      </c>
      <c r="W17" s="402" t="s">
        <v>118</v>
      </c>
      <c r="X17" s="252" t="s">
        <v>118</v>
      </c>
      <c r="Y17" s="252" t="s">
        <v>118</v>
      </c>
      <c r="Z17" s="252" t="s">
        <v>118</v>
      </c>
      <c r="AA17" s="252" t="s">
        <v>118</v>
      </c>
      <c r="AB17" s="252" t="s">
        <v>118</v>
      </c>
      <c r="AC17" s="402" t="s">
        <v>118</v>
      </c>
      <c r="AD17" s="252" t="s">
        <v>118</v>
      </c>
      <c r="AE17" s="252" t="s">
        <v>118</v>
      </c>
      <c r="AF17" s="252" t="s">
        <v>118</v>
      </c>
      <c r="AG17" s="252" t="s">
        <v>118</v>
      </c>
      <c r="AH17" s="252" t="s">
        <v>118</v>
      </c>
      <c r="AI17" s="252" t="s">
        <v>118</v>
      </c>
    </row>
    <row r="18" ht="18.75" customHeight="1">
      <c r="A18" s="158"/>
      <c r="B18" s="135"/>
      <c r="C18" s="2348" t="s">
        <v>866</v>
      </c>
      <c r="D18" s="252" t="s">
        <v>118</v>
      </c>
      <c r="E18" s="252" t="s">
        <v>118</v>
      </c>
      <c r="F18" s="252" t="s">
        <v>118</v>
      </c>
      <c r="G18" s="252" t="s">
        <v>118</v>
      </c>
      <c r="H18" s="252" t="s">
        <v>118</v>
      </c>
      <c r="I18" s="402" t="s">
        <v>118</v>
      </c>
      <c r="J18" s="252" t="s">
        <v>91</v>
      </c>
      <c r="K18" s="252" t="s">
        <v>92</v>
      </c>
      <c r="L18" s="252" t="s">
        <v>92</v>
      </c>
      <c r="M18" s="252" t="s">
        <v>93</v>
      </c>
      <c r="N18" s="252" t="s">
        <v>93</v>
      </c>
      <c r="O18" s="252" t="s">
        <v>92</v>
      </c>
      <c r="P18" s="402" t="s">
        <v>91</v>
      </c>
      <c r="Q18" s="252" t="s">
        <v>92</v>
      </c>
      <c r="R18" s="252" t="s">
        <v>91</v>
      </c>
      <c r="S18" s="402" t="s">
        <v>91</v>
      </c>
      <c r="T18" s="252" t="s">
        <v>91</v>
      </c>
      <c r="U18" s="252" t="s">
        <v>91</v>
      </c>
      <c r="V18" s="252" t="s">
        <v>91</v>
      </c>
      <c r="W18" s="402" t="s">
        <v>91</v>
      </c>
      <c r="X18" s="252" t="s">
        <v>93</v>
      </c>
      <c r="Y18" s="252" t="s">
        <v>93</v>
      </c>
      <c r="Z18" s="252" t="s">
        <v>93</v>
      </c>
      <c r="AA18" s="252" t="s">
        <v>93</v>
      </c>
      <c r="AB18" s="252" t="s">
        <v>93</v>
      </c>
      <c r="AC18" s="402" t="s">
        <v>93</v>
      </c>
      <c r="AD18" s="252" t="s">
        <v>91</v>
      </c>
      <c r="AE18" s="252" t="s">
        <v>91</v>
      </c>
      <c r="AF18" s="252" t="s">
        <v>91</v>
      </c>
      <c r="AG18" s="252" t="s">
        <v>91</v>
      </c>
      <c r="AH18" s="252" t="s">
        <v>92</v>
      </c>
      <c r="AI18" s="252" t="s">
        <v>92</v>
      </c>
    </row>
    <row r="19" ht="18.75" customHeight="1">
      <c r="A19" s="158"/>
      <c r="B19" s="2243" t="s">
        <v>214</v>
      </c>
      <c r="C19" s="2349" t="s">
        <v>1334</v>
      </c>
      <c r="D19" s="252" t="s">
        <v>92</v>
      </c>
      <c r="E19" s="252" t="s">
        <v>91</v>
      </c>
      <c r="F19" s="252" t="s">
        <v>91</v>
      </c>
      <c r="G19" s="252" t="s">
        <v>92</v>
      </c>
      <c r="H19" s="252" t="s">
        <v>92</v>
      </c>
      <c r="I19" s="402" t="s">
        <v>92</v>
      </c>
      <c r="J19" s="252" t="s">
        <v>91</v>
      </c>
      <c r="K19" s="252" t="s">
        <v>92</v>
      </c>
      <c r="L19" s="252" t="s">
        <v>92</v>
      </c>
      <c r="M19" s="252" t="s">
        <v>91</v>
      </c>
      <c r="N19" s="252" t="s">
        <v>91</v>
      </c>
      <c r="O19" s="252" t="s">
        <v>92</v>
      </c>
      <c r="P19" s="402" t="s">
        <v>91</v>
      </c>
      <c r="Q19" s="252" t="s">
        <v>92</v>
      </c>
      <c r="R19" s="252" t="s">
        <v>91</v>
      </c>
      <c r="S19" s="402" t="s">
        <v>91</v>
      </c>
      <c r="T19" s="252" t="s">
        <v>93</v>
      </c>
      <c r="U19" s="252" t="s">
        <v>93</v>
      </c>
      <c r="V19" s="252" t="s">
        <v>93</v>
      </c>
      <c r="W19" s="402" t="s">
        <v>93</v>
      </c>
      <c r="X19" s="252" t="s">
        <v>93</v>
      </c>
      <c r="Y19" s="252" t="s">
        <v>93</v>
      </c>
      <c r="Z19" s="252" t="s">
        <v>93</v>
      </c>
      <c r="AA19" s="252" t="s">
        <v>93</v>
      </c>
      <c r="AB19" s="252" t="s">
        <v>93</v>
      </c>
      <c r="AC19" s="402" t="s">
        <v>93</v>
      </c>
      <c r="AD19" s="252" t="s">
        <v>118</v>
      </c>
      <c r="AE19" s="252" t="s">
        <v>118</v>
      </c>
      <c r="AF19" s="252" t="s">
        <v>118</v>
      </c>
      <c r="AG19" s="252" t="s">
        <v>118</v>
      </c>
      <c r="AH19" s="252" t="s">
        <v>118</v>
      </c>
      <c r="AI19" s="252" t="s">
        <v>118</v>
      </c>
    </row>
    <row r="20" ht="18.75" customHeight="1">
      <c r="A20" s="158"/>
      <c r="B20" s="813"/>
      <c r="C20" s="2248" t="s">
        <v>1333</v>
      </c>
      <c r="D20" s="252" t="s">
        <v>118</v>
      </c>
      <c r="E20" s="252" t="s">
        <v>118</v>
      </c>
      <c r="F20" s="252" t="s">
        <v>118</v>
      </c>
      <c r="G20" s="252" t="s">
        <v>118</v>
      </c>
      <c r="H20" s="252" t="s">
        <v>118</v>
      </c>
      <c r="I20" s="402" t="s">
        <v>118</v>
      </c>
      <c r="J20" s="252" t="s">
        <v>118</v>
      </c>
      <c r="K20" s="252" t="s">
        <v>118</v>
      </c>
      <c r="L20" s="252" t="s">
        <v>118</v>
      </c>
      <c r="M20" s="252" t="s">
        <v>118</v>
      </c>
      <c r="N20" s="252" t="s">
        <v>118</v>
      </c>
      <c r="O20" s="252" t="s">
        <v>118</v>
      </c>
      <c r="P20" s="402" t="s">
        <v>118</v>
      </c>
      <c r="Q20" s="252" t="s">
        <v>118</v>
      </c>
      <c r="R20" s="252" t="s">
        <v>118</v>
      </c>
      <c r="S20" s="402" t="s">
        <v>118</v>
      </c>
      <c r="T20" s="252" t="s">
        <v>118</v>
      </c>
      <c r="U20" s="252" t="s">
        <v>118</v>
      </c>
      <c r="V20" s="252" t="s">
        <v>118</v>
      </c>
      <c r="W20" s="402" t="s">
        <v>118</v>
      </c>
      <c r="X20" s="252" t="s">
        <v>118</v>
      </c>
      <c r="Y20" s="252" t="s">
        <v>118</v>
      </c>
      <c r="Z20" s="252" t="s">
        <v>118</v>
      </c>
      <c r="AA20" s="252" t="s">
        <v>118</v>
      </c>
      <c r="AB20" s="252" t="s">
        <v>118</v>
      </c>
      <c r="AC20" s="402" t="s">
        <v>118</v>
      </c>
      <c r="AD20" s="252" t="s">
        <v>91</v>
      </c>
      <c r="AE20" s="252" t="s">
        <v>91</v>
      </c>
      <c r="AF20" s="252" t="s">
        <v>91</v>
      </c>
      <c r="AG20" s="252" t="s">
        <v>91</v>
      </c>
      <c r="AH20" s="252" t="s">
        <v>92</v>
      </c>
      <c r="AI20" s="252" t="s">
        <v>92</v>
      </c>
    </row>
    <row r="21" ht="18.75" customHeight="1">
      <c r="A21" s="168"/>
      <c r="B21" s="968"/>
      <c r="C21" s="2249" t="s">
        <v>97</v>
      </c>
      <c r="D21" s="252" t="s">
        <v>92</v>
      </c>
      <c r="E21" s="252" t="s">
        <v>92</v>
      </c>
      <c r="F21" s="252" t="s">
        <v>91</v>
      </c>
      <c r="G21" s="252" t="s">
        <v>92</v>
      </c>
      <c r="H21" s="252" t="s">
        <v>92</v>
      </c>
      <c r="I21" s="402" t="s">
        <v>92</v>
      </c>
      <c r="J21" s="252" t="s">
        <v>93</v>
      </c>
      <c r="K21" s="252" t="s">
        <v>93</v>
      </c>
      <c r="L21" s="252" t="s">
        <v>93</v>
      </c>
      <c r="M21" s="252" t="s">
        <v>93</v>
      </c>
      <c r="N21" s="252" t="s">
        <v>93</v>
      </c>
      <c r="O21" s="252" t="s">
        <v>93</v>
      </c>
      <c r="P21" s="402" t="s">
        <v>93</v>
      </c>
      <c r="Q21" s="252" t="s">
        <v>92</v>
      </c>
      <c r="R21" s="252" t="s">
        <v>91</v>
      </c>
      <c r="S21" s="402" t="s">
        <v>91</v>
      </c>
      <c r="T21" s="252" t="s">
        <v>92</v>
      </c>
      <c r="U21" s="252" t="s">
        <v>91</v>
      </c>
      <c r="V21" s="252" t="s">
        <v>91</v>
      </c>
      <c r="W21" s="402" t="s">
        <v>91</v>
      </c>
      <c r="X21" s="252" t="s">
        <v>91</v>
      </c>
      <c r="Y21" s="252" t="s">
        <v>91</v>
      </c>
      <c r="Z21" s="252" t="s">
        <v>91</v>
      </c>
      <c r="AA21" s="252" t="s">
        <v>117</v>
      </c>
      <c r="AB21" s="252" t="s">
        <v>91</v>
      </c>
      <c r="AC21" s="402" t="s">
        <v>92</v>
      </c>
      <c r="AD21" s="252" t="s">
        <v>91</v>
      </c>
      <c r="AE21" s="252" t="s">
        <v>91</v>
      </c>
      <c r="AF21" s="252" t="s">
        <v>92</v>
      </c>
      <c r="AG21" s="252" t="s">
        <v>91</v>
      </c>
      <c r="AH21" s="252" t="s">
        <v>92</v>
      </c>
      <c r="AI21" s="252" t="s">
        <v>92</v>
      </c>
    </row>
    <row r="22" ht="9.75" customHeight="1">
      <c r="A22" s="170"/>
      <c r="B22" s="172"/>
      <c r="C22" s="172"/>
      <c r="D22" s="2235" t="str">
        <f t="shared" ref="D22:S22" si="1">LINKURL(D5)</f>
        <v>https://www.reddit.com/r/RMTK/comments/d88vec/m0111_motie_tot_horecadienstplicht/</v>
      </c>
      <c r="E22" s="2235" t="str">
        <f t="shared" si="1"/>
        <v>https://www.reddit.com/r/RMTK/comments/d8u34t/m0112_motie_tot_het_stimuleren_van_de_bouw_van/</v>
      </c>
      <c r="F22" s="2235" t="str">
        <f t="shared" si="1"/>
        <v>https://www.reddit.com/r/RMTK/comments/dit9bu/w0041i_amendement_belastingwet_meervoudig/</v>
      </c>
      <c r="G22" s="2235" t="str">
        <f t="shared" si="1"/>
        <v>https://www.reddit.com/r/RMTK/comments/djbute/w0042i_amendement_wet_tot_goedkeuring_aankoop/</v>
      </c>
      <c r="H22" s="2168" t="str">
        <f t="shared" si="1"/>
        <v>https://www.reddit.com/r/RMTK/comments/d2a3yu/w0039_wetsvoorstel_versoepeling_opiumwet/</v>
      </c>
      <c r="I22" s="2235" t="str">
        <f t="shared" si="1"/>
        <v>https://www.reddit.com/r/RMTK/comments/d9pe1o/w0043_wijziging_wetboek_van_strafrecht_artikel_23/</v>
      </c>
      <c r="J22" s="2235" t="str">
        <f t="shared" si="1"/>
        <v>https://www.reddit.com/r/RMTK/comments/djsqad/m0114_motie_omtrent_het_mogelijke_finse/</v>
      </c>
      <c r="K22" s="2168" t="str">
        <f t="shared" si="1"/>
        <v>https://www.reddit.com/r/RMTK/comments/dkz8sk/m0115_motie_van_treurnis_omtrent_de_voornemens/</v>
      </c>
      <c r="L22" s="2235" t="str">
        <f t="shared" si="1"/>
        <v>https://www.reddit.com/r/RMTK/comments/dml67f/m0116_motie_tot_verlaging_van_de_aowleeftijd_naar/</v>
      </c>
      <c r="M22" s="2235" t="str">
        <f t="shared" si="1"/>
        <v>https://www.reddit.com/r/RMTK/comments/d88tka/w0041_belastingwet_meervoudig_woningbezit/</v>
      </c>
      <c r="N22" s="2235" t="str">
        <f t="shared" si="1"/>
        <v>https://www.reddit.com/r/RMTK/comments/d93cgv/w0042_wet_tot_goedkeuring_aankoop_vijf_f35a_2019/</v>
      </c>
      <c r="O22" s="2235" t="str">
        <f t="shared" si="1"/>
        <v>https://www.reddit.com/r/RMTK/comments/dkz3ba/w0043_intrekkingswet_accijnswet/</v>
      </c>
      <c r="P22" s="2350" t="str">
        <f t="shared" si="1"/>
        <v>https://www.reddit.com/r/RMTK/comments/dm1lyl/w0044_noodwet_stikfstofverbindingsproblematiek/</v>
      </c>
      <c r="Q22" s="2235" t="str">
        <f t="shared" si="1"/>
        <v>https://www.reddit.com/r/RMTK/comments/dotujc/m0117_motie_omtrent_een_bindend_correctief/</v>
      </c>
      <c r="R22" s="2235" t="str">
        <f t="shared" si="1"/>
        <v>https://www.reddit.com/r/RMTK/comments/dp857b/m0118_motie_tot_het_maken_van_een_vrije_dag_van/</v>
      </c>
      <c r="S22" s="2350" t="str">
        <f t="shared" si="1"/>
        <v>https://www.reddit.com/r/RMTK/comments/dpnpjp/m0119_motie_tot_toevoeging/</v>
      </c>
      <c r="T22" s="2235" t="s">
        <v>1806</v>
      </c>
      <c r="U22" s="2235" t="s">
        <v>1807</v>
      </c>
      <c r="V22" s="2235" t="s">
        <v>1808</v>
      </c>
      <c r="W22" s="2350" t="s">
        <v>1809</v>
      </c>
      <c r="X22" s="2235" t="s">
        <v>1810</v>
      </c>
      <c r="Y22" s="2235" t="s">
        <v>1811</v>
      </c>
      <c r="Z22" s="2235" t="s">
        <v>1812</v>
      </c>
      <c r="AA22" s="2235" t="s">
        <v>1813</v>
      </c>
      <c r="AB22" s="2168" t="s">
        <v>1814</v>
      </c>
      <c r="AC22" s="2350" t="s">
        <v>1815</v>
      </c>
      <c r="AD22" s="2235" t="str">
        <f t="shared" ref="AD22:AI22" si="2">linkurl(AD5)</f>
        <v>https://www.reddit.com/r/RMTK/comments/e0q3ef/w0048_sanctiewet_republiek_turkije_2019/?</v>
      </c>
      <c r="AE22" s="2235" t="str">
        <f t="shared" si="2"/>
        <v>https://www.reddit.com/r/RMTK/comments/dy8slq/w0052_wetswijziging_ter_afschaffing_van_de/</v>
      </c>
      <c r="AF22" s="2235" t="str">
        <f t="shared" si="2"/>
        <v>https://www.reddit.com/r/RMTK/comments/dynhk0/m0124_motie_tot_onderzoek_naar_gedecentraliseerde/</v>
      </c>
      <c r="AG22" s="2235" t="str">
        <f t="shared" si="2"/>
        <v>https://www.reddit.com/r/RMTK/comments/dz8jqi/m0125_motie_tot_terughalen_irak_en_syri%C3%ABgangers/</v>
      </c>
      <c r="AH22" s="2235" t="str">
        <f t="shared" si="2"/>
        <v>https://www.reddit.com/r/RMTK/comments/dzl2ov/w0053_wet_bestrijding_friese_terreur/</v>
      </c>
      <c r="AI22" s="2235" t="str">
        <f t="shared" si="2"/>
        <v>https://www.reddit.com/r/RMTK/comments/dzpvs1/m0130_motie_van_wantrouwen_jegens_kabinet_house/</v>
      </c>
    </row>
    <row r="23" ht="18.75" customHeight="1">
      <c r="A23" s="176" t="s">
        <v>1816</v>
      </c>
      <c r="B23" s="2219" t="s">
        <v>36</v>
      </c>
      <c r="C23" s="2259" t="s">
        <v>102</v>
      </c>
      <c r="D23" s="252" t="s">
        <v>92</v>
      </c>
      <c r="E23" s="252" t="s">
        <v>91</v>
      </c>
      <c r="F23" s="252" t="s">
        <v>92</v>
      </c>
      <c r="G23" s="252" t="s">
        <v>91</v>
      </c>
      <c r="H23" s="252" t="s">
        <v>92</v>
      </c>
      <c r="I23" s="402" t="s">
        <v>117</v>
      </c>
      <c r="J23" s="252" t="s">
        <v>91</v>
      </c>
      <c r="K23" s="252" t="s">
        <v>117</v>
      </c>
      <c r="L23" s="252" t="s">
        <v>91</v>
      </c>
      <c r="M23" s="252" t="s">
        <v>91</v>
      </c>
      <c r="N23" s="252" t="s">
        <v>91</v>
      </c>
      <c r="O23" s="252" t="s">
        <v>91</v>
      </c>
      <c r="P23" s="402" t="s">
        <v>92</v>
      </c>
      <c r="Q23" s="252" t="s">
        <v>93</v>
      </c>
      <c r="R23" s="252" t="s">
        <v>93</v>
      </c>
      <c r="S23" s="402" t="s">
        <v>93</v>
      </c>
      <c r="T23" s="252" t="s">
        <v>92</v>
      </c>
      <c r="U23" s="252" t="s">
        <v>91</v>
      </c>
      <c r="V23" s="252" t="s">
        <v>92</v>
      </c>
      <c r="W23" s="402" t="s">
        <v>92</v>
      </c>
      <c r="X23" s="252" t="s">
        <v>91</v>
      </c>
      <c r="Y23" s="252" t="s">
        <v>117</v>
      </c>
      <c r="Z23" s="252" t="s">
        <v>91</v>
      </c>
      <c r="AA23" s="252" t="s">
        <v>92</v>
      </c>
      <c r="AB23" s="252" t="s">
        <v>91</v>
      </c>
      <c r="AC23" s="402" t="s">
        <v>92</v>
      </c>
      <c r="AD23" s="252" t="s">
        <v>91</v>
      </c>
      <c r="AE23" s="252" t="s">
        <v>92</v>
      </c>
      <c r="AF23" s="252" t="s">
        <v>91</v>
      </c>
      <c r="AG23" s="252" t="s">
        <v>92</v>
      </c>
      <c r="AH23" s="252" t="s">
        <v>91</v>
      </c>
      <c r="AI23" s="252" t="s">
        <v>91</v>
      </c>
    </row>
    <row r="24" ht="18.75" customHeight="1">
      <c r="A24" s="158"/>
      <c r="B24" s="135"/>
      <c r="C24" s="2224" t="s">
        <v>176</v>
      </c>
      <c r="D24" s="252" t="s">
        <v>92</v>
      </c>
      <c r="E24" s="252" t="s">
        <v>91</v>
      </c>
      <c r="F24" s="252" t="s">
        <v>92</v>
      </c>
      <c r="G24" s="252" t="s">
        <v>91</v>
      </c>
      <c r="H24" s="252" t="s">
        <v>92</v>
      </c>
      <c r="I24" s="402" t="s">
        <v>117</v>
      </c>
      <c r="J24" s="252" t="s">
        <v>91</v>
      </c>
      <c r="K24" s="252" t="s">
        <v>117</v>
      </c>
      <c r="L24" s="252" t="s">
        <v>91</v>
      </c>
      <c r="M24" s="252" t="s">
        <v>92</v>
      </c>
      <c r="N24" s="252" t="s">
        <v>91</v>
      </c>
      <c r="O24" s="252" t="s">
        <v>91</v>
      </c>
      <c r="P24" s="402" t="s">
        <v>92</v>
      </c>
      <c r="Q24" s="252" t="s">
        <v>91</v>
      </c>
      <c r="R24" s="252" t="s">
        <v>91</v>
      </c>
      <c r="S24" s="402" t="s">
        <v>91</v>
      </c>
      <c r="T24" s="252" t="s">
        <v>92</v>
      </c>
      <c r="U24" s="252" t="s">
        <v>91</v>
      </c>
      <c r="V24" s="252" t="s">
        <v>92</v>
      </c>
      <c r="W24" s="402" t="s">
        <v>92</v>
      </c>
      <c r="X24" s="252" t="s">
        <v>91</v>
      </c>
      <c r="Y24" s="252" t="s">
        <v>117</v>
      </c>
      <c r="Z24" s="252" t="s">
        <v>117</v>
      </c>
      <c r="AA24" s="252" t="s">
        <v>92</v>
      </c>
      <c r="AB24" s="252" t="s">
        <v>91</v>
      </c>
      <c r="AC24" s="402" t="s">
        <v>92</v>
      </c>
      <c r="AD24" s="252" t="s">
        <v>91</v>
      </c>
      <c r="AE24" s="252" t="s">
        <v>117</v>
      </c>
      <c r="AF24" s="252" t="s">
        <v>91</v>
      </c>
      <c r="AG24" s="252" t="s">
        <v>92</v>
      </c>
      <c r="AH24" s="252" t="s">
        <v>91</v>
      </c>
      <c r="AI24" s="252" t="s">
        <v>91</v>
      </c>
    </row>
    <row r="25" ht="18.75" customHeight="1">
      <c r="A25" s="158"/>
      <c r="B25" s="135"/>
      <c r="C25" s="162" t="s">
        <v>252</v>
      </c>
      <c r="D25" s="252" t="s">
        <v>92</v>
      </c>
      <c r="E25" s="252" t="s">
        <v>91</v>
      </c>
      <c r="F25" s="252" t="s">
        <v>92</v>
      </c>
      <c r="G25" s="252" t="s">
        <v>91</v>
      </c>
      <c r="H25" s="252" t="s">
        <v>92</v>
      </c>
      <c r="I25" s="402" t="s">
        <v>117</v>
      </c>
      <c r="J25" s="252" t="s">
        <v>92</v>
      </c>
      <c r="K25" s="252" t="s">
        <v>91</v>
      </c>
      <c r="L25" s="252" t="s">
        <v>92</v>
      </c>
      <c r="M25" s="252" t="s">
        <v>92</v>
      </c>
      <c r="N25" s="252" t="s">
        <v>117</v>
      </c>
      <c r="O25" s="252" t="s">
        <v>91</v>
      </c>
      <c r="P25" s="402" t="s">
        <v>92</v>
      </c>
      <c r="Q25" s="252" t="s">
        <v>91</v>
      </c>
      <c r="R25" s="252" t="s">
        <v>91</v>
      </c>
      <c r="S25" s="402" t="s">
        <v>91</v>
      </c>
      <c r="T25" s="252" t="s">
        <v>92</v>
      </c>
      <c r="U25" s="252" t="s">
        <v>91</v>
      </c>
      <c r="V25" s="252" t="s">
        <v>92</v>
      </c>
      <c r="W25" s="402" t="s">
        <v>92</v>
      </c>
      <c r="X25" s="252" t="s">
        <v>93</v>
      </c>
      <c r="Y25" s="252" t="s">
        <v>93</v>
      </c>
      <c r="Z25" s="252" t="s">
        <v>93</v>
      </c>
      <c r="AA25" s="252" t="s">
        <v>93</v>
      </c>
      <c r="AB25" s="252" t="s">
        <v>93</v>
      </c>
      <c r="AC25" s="402" t="s">
        <v>93</v>
      </c>
      <c r="AD25" s="252" t="s">
        <v>91</v>
      </c>
      <c r="AE25" s="252" t="s">
        <v>91</v>
      </c>
      <c r="AF25" s="252" t="s">
        <v>91</v>
      </c>
      <c r="AG25" s="252" t="s">
        <v>92</v>
      </c>
      <c r="AH25" s="252" t="s">
        <v>91</v>
      </c>
      <c r="AI25" s="252" t="s">
        <v>91</v>
      </c>
    </row>
    <row r="26" ht="18.75" customHeight="1">
      <c r="A26" s="158"/>
      <c r="B26" s="135"/>
      <c r="C26" s="162" t="s">
        <v>1331</v>
      </c>
      <c r="D26" s="252" t="s">
        <v>91</v>
      </c>
      <c r="E26" s="252" t="s">
        <v>91</v>
      </c>
      <c r="F26" s="252" t="s">
        <v>91</v>
      </c>
      <c r="G26" s="252" t="s">
        <v>91</v>
      </c>
      <c r="H26" s="252" t="s">
        <v>92</v>
      </c>
      <c r="I26" s="402" t="s">
        <v>117</v>
      </c>
      <c r="J26" s="252" t="s">
        <v>92</v>
      </c>
      <c r="K26" s="252" t="s">
        <v>92</v>
      </c>
      <c r="L26" s="252" t="s">
        <v>91</v>
      </c>
      <c r="M26" s="252" t="s">
        <v>92</v>
      </c>
      <c r="N26" s="252" t="s">
        <v>91</v>
      </c>
      <c r="O26" s="252" t="s">
        <v>91</v>
      </c>
      <c r="P26" s="402" t="s">
        <v>92</v>
      </c>
      <c r="Q26" s="252" t="s">
        <v>91</v>
      </c>
      <c r="R26" s="252" t="s">
        <v>91</v>
      </c>
      <c r="S26" s="402" t="s">
        <v>91</v>
      </c>
      <c r="T26" s="252" t="s">
        <v>92</v>
      </c>
      <c r="U26" s="252" t="s">
        <v>91</v>
      </c>
      <c r="V26" s="252" t="s">
        <v>92</v>
      </c>
      <c r="W26" s="402" t="s">
        <v>92</v>
      </c>
      <c r="X26" s="252" t="s">
        <v>92</v>
      </c>
      <c r="Y26" s="252" t="s">
        <v>92</v>
      </c>
      <c r="Z26" s="252" t="s">
        <v>92</v>
      </c>
      <c r="AA26" s="252" t="s">
        <v>92</v>
      </c>
      <c r="AB26" s="252" t="s">
        <v>91</v>
      </c>
      <c r="AC26" s="402" t="s">
        <v>92</v>
      </c>
      <c r="AD26" s="252" t="s">
        <v>91</v>
      </c>
      <c r="AE26" s="252" t="s">
        <v>92</v>
      </c>
      <c r="AF26" s="252" t="s">
        <v>91</v>
      </c>
      <c r="AG26" s="252" t="s">
        <v>92</v>
      </c>
      <c r="AH26" s="252" t="s">
        <v>91</v>
      </c>
      <c r="AI26" s="252" t="s">
        <v>91</v>
      </c>
    </row>
    <row r="27" ht="18.75" customHeight="1">
      <c r="A27" s="158"/>
      <c r="B27" s="135"/>
      <c r="C27" s="162" t="s">
        <v>37</v>
      </c>
      <c r="D27" s="252" t="s">
        <v>92</v>
      </c>
      <c r="E27" s="252" t="s">
        <v>91</v>
      </c>
      <c r="F27" s="252" t="s">
        <v>91</v>
      </c>
      <c r="G27" s="252" t="s">
        <v>91</v>
      </c>
      <c r="H27" s="252" t="s">
        <v>92</v>
      </c>
      <c r="I27" s="402" t="s">
        <v>92</v>
      </c>
      <c r="J27" s="252" t="s">
        <v>92</v>
      </c>
      <c r="K27" s="252" t="s">
        <v>91</v>
      </c>
      <c r="L27" s="252" t="s">
        <v>91</v>
      </c>
      <c r="M27" s="252" t="s">
        <v>92</v>
      </c>
      <c r="N27" s="252" t="s">
        <v>91</v>
      </c>
      <c r="O27" s="252" t="s">
        <v>91</v>
      </c>
      <c r="P27" s="402" t="s">
        <v>92</v>
      </c>
      <c r="Q27" s="252" t="s">
        <v>91</v>
      </c>
      <c r="R27" s="252" t="s">
        <v>91</v>
      </c>
      <c r="S27" s="402" t="s">
        <v>91</v>
      </c>
      <c r="T27" s="252" t="s">
        <v>92</v>
      </c>
      <c r="U27" s="252" t="s">
        <v>91</v>
      </c>
      <c r="V27" s="252" t="s">
        <v>92</v>
      </c>
      <c r="W27" s="402" t="s">
        <v>92</v>
      </c>
      <c r="X27" s="252" t="s">
        <v>91</v>
      </c>
      <c r="Y27" s="252" t="s">
        <v>91</v>
      </c>
      <c r="Z27" s="252" t="s">
        <v>92</v>
      </c>
      <c r="AA27" s="252" t="s">
        <v>92</v>
      </c>
      <c r="AB27" s="252" t="s">
        <v>91</v>
      </c>
      <c r="AC27" s="402" t="s">
        <v>91</v>
      </c>
      <c r="AD27" s="252" t="s">
        <v>91</v>
      </c>
      <c r="AE27" s="252" t="s">
        <v>92</v>
      </c>
      <c r="AF27" s="252" t="s">
        <v>91</v>
      </c>
      <c r="AG27" s="252" t="s">
        <v>92</v>
      </c>
      <c r="AH27" s="252" t="s">
        <v>91</v>
      </c>
      <c r="AI27" s="252" t="s">
        <v>91</v>
      </c>
    </row>
    <row r="28" ht="18.75" customHeight="1">
      <c r="A28" s="158"/>
      <c r="B28" s="135"/>
      <c r="C28" s="162" t="s">
        <v>326</v>
      </c>
      <c r="D28" s="252" t="s">
        <v>92</v>
      </c>
      <c r="E28" s="252" t="s">
        <v>91</v>
      </c>
      <c r="F28" s="252" t="s">
        <v>92</v>
      </c>
      <c r="G28" s="252" t="s">
        <v>91</v>
      </c>
      <c r="H28" s="252" t="s">
        <v>92</v>
      </c>
      <c r="I28" s="402" t="s">
        <v>117</v>
      </c>
      <c r="J28" s="252" t="s">
        <v>93</v>
      </c>
      <c r="K28" s="252" t="s">
        <v>93</v>
      </c>
      <c r="L28" s="252" t="s">
        <v>93</v>
      </c>
      <c r="M28" s="252" t="s">
        <v>93</v>
      </c>
      <c r="N28" s="252" t="s">
        <v>93</v>
      </c>
      <c r="O28" s="252" t="s">
        <v>93</v>
      </c>
      <c r="P28" s="402" t="s">
        <v>93</v>
      </c>
      <c r="Q28" s="252" t="s">
        <v>93</v>
      </c>
      <c r="R28" s="252" t="s">
        <v>93</v>
      </c>
      <c r="S28" s="402" t="s">
        <v>93</v>
      </c>
      <c r="T28" s="252" t="s">
        <v>93</v>
      </c>
      <c r="U28" s="252" t="s">
        <v>93</v>
      </c>
      <c r="V28" s="252" t="s">
        <v>93</v>
      </c>
      <c r="W28" s="402" t="s">
        <v>93</v>
      </c>
      <c r="X28" s="252" t="s">
        <v>93</v>
      </c>
      <c r="Y28" s="252" t="s">
        <v>93</v>
      </c>
      <c r="Z28" s="252" t="s">
        <v>93</v>
      </c>
      <c r="AA28" s="252" t="s">
        <v>93</v>
      </c>
      <c r="AB28" s="252" t="s">
        <v>93</v>
      </c>
      <c r="AC28" s="402" t="s">
        <v>93</v>
      </c>
      <c r="AD28" s="252" t="s">
        <v>91</v>
      </c>
      <c r="AE28" s="252" t="s">
        <v>92</v>
      </c>
      <c r="AF28" s="252" t="s">
        <v>91</v>
      </c>
      <c r="AG28" s="252" t="s">
        <v>92</v>
      </c>
      <c r="AH28" s="252" t="s">
        <v>91</v>
      </c>
      <c r="AI28" s="252" t="s">
        <v>91</v>
      </c>
    </row>
    <row r="29" ht="18.75" customHeight="1">
      <c r="A29" s="158"/>
      <c r="B29" s="180" t="s">
        <v>31</v>
      </c>
      <c r="C29" s="181" t="s">
        <v>32</v>
      </c>
      <c r="D29" s="252" t="s">
        <v>92</v>
      </c>
      <c r="E29" s="252" t="s">
        <v>91</v>
      </c>
      <c r="F29" s="252" t="s">
        <v>91</v>
      </c>
      <c r="G29" s="252" t="s">
        <v>92</v>
      </c>
      <c r="H29" s="252" t="s">
        <v>91</v>
      </c>
      <c r="I29" s="402" t="s">
        <v>91</v>
      </c>
      <c r="J29" s="252" t="s">
        <v>91</v>
      </c>
      <c r="K29" s="252" t="s">
        <v>91</v>
      </c>
      <c r="L29" s="252" t="s">
        <v>91</v>
      </c>
      <c r="M29" s="252" t="s">
        <v>91</v>
      </c>
      <c r="N29" s="252" t="s">
        <v>91</v>
      </c>
      <c r="O29" s="252" t="s">
        <v>117</v>
      </c>
      <c r="P29" s="402" t="s">
        <v>92</v>
      </c>
      <c r="Q29" s="252" t="s">
        <v>91</v>
      </c>
      <c r="R29" s="252" t="s">
        <v>91</v>
      </c>
      <c r="S29" s="402" t="s">
        <v>91</v>
      </c>
      <c r="T29" s="252" t="s">
        <v>91</v>
      </c>
      <c r="U29" s="252" t="s">
        <v>91</v>
      </c>
      <c r="V29" s="252" t="s">
        <v>91</v>
      </c>
      <c r="W29" s="402" t="s">
        <v>91</v>
      </c>
      <c r="X29" s="252" t="s">
        <v>117</v>
      </c>
      <c r="Y29" s="252" t="s">
        <v>91</v>
      </c>
      <c r="Z29" s="252" t="s">
        <v>91</v>
      </c>
      <c r="AA29" s="252" t="s">
        <v>91</v>
      </c>
      <c r="AB29" s="252" t="s">
        <v>92</v>
      </c>
      <c r="AC29" s="402" t="s">
        <v>91</v>
      </c>
      <c r="AD29" s="252" t="s">
        <v>91</v>
      </c>
      <c r="AE29" s="252" t="s">
        <v>91</v>
      </c>
      <c r="AF29" s="252" t="s">
        <v>91</v>
      </c>
      <c r="AG29" s="252" t="s">
        <v>91</v>
      </c>
      <c r="AH29" s="252" t="s">
        <v>92</v>
      </c>
      <c r="AI29" s="252" t="s">
        <v>91</v>
      </c>
    </row>
    <row r="30" ht="18.75" customHeight="1">
      <c r="A30" s="158"/>
      <c r="B30" s="135"/>
      <c r="C30" s="182" t="s">
        <v>111</v>
      </c>
      <c r="D30" s="252" t="s">
        <v>93</v>
      </c>
      <c r="E30" s="252" t="s">
        <v>91</v>
      </c>
      <c r="F30" s="252" t="s">
        <v>91</v>
      </c>
      <c r="G30" s="252" t="s">
        <v>92</v>
      </c>
      <c r="H30" s="252" t="s">
        <v>91</v>
      </c>
      <c r="I30" s="402" t="s">
        <v>91</v>
      </c>
      <c r="J30" s="252" t="s">
        <v>91</v>
      </c>
      <c r="K30" s="252" t="s">
        <v>91</v>
      </c>
      <c r="L30" s="252" t="s">
        <v>91</v>
      </c>
      <c r="M30" s="252" t="s">
        <v>91</v>
      </c>
      <c r="N30" s="252" t="s">
        <v>91</v>
      </c>
      <c r="O30" s="252" t="s">
        <v>117</v>
      </c>
      <c r="P30" s="402" t="s">
        <v>92</v>
      </c>
      <c r="Q30" s="252" t="s">
        <v>91</v>
      </c>
      <c r="R30" s="252" t="s">
        <v>91</v>
      </c>
      <c r="S30" s="402" t="s">
        <v>91</v>
      </c>
      <c r="T30" s="252" t="s">
        <v>91</v>
      </c>
      <c r="U30" s="252" t="s">
        <v>91</v>
      </c>
      <c r="V30" s="252" t="s">
        <v>91</v>
      </c>
      <c r="W30" s="402" t="s">
        <v>91</v>
      </c>
      <c r="X30" s="252" t="s">
        <v>117</v>
      </c>
      <c r="Y30" s="252" t="s">
        <v>91</v>
      </c>
      <c r="Z30" s="252" t="s">
        <v>91</v>
      </c>
      <c r="AA30" s="252" t="s">
        <v>91</v>
      </c>
      <c r="AB30" s="252" t="s">
        <v>92</v>
      </c>
      <c r="AC30" s="402" t="s">
        <v>91</v>
      </c>
      <c r="AD30" s="252" t="s">
        <v>91</v>
      </c>
      <c r="AE30" s="252" t="s">
        <v>91</v>
      </c>
      <c r="AF30" s="252" t="s">
        <v>91</v>
      </c>
      <c r="AG30" s="252" t="s">
        <v>91</v>
      </c>
      <c r="AH30" s="252" t="s">
        <v>92</v>
      </c>
      <c r="AI30" s="252" t="s">
        <v>91</v>
      </c>
    </row>
    <row r="31" ht="18.75" customHeight="1">
      <c r="A31" s="158"/>
      <c r="B31" s="135"/>
      <c r="C31" s="182" t="s">
        <v>1343</v>
      </c>
      <c r="D31" s="252" t="s">
        <v>92</v>
      </c>
      <c r="E31" s="252" t="s">
        <v>91</v>
      </c>
      <c r="F31" s="252" t="s">
        <v>91</v>
      </c>
      <c r="G31" s="252" t="s">
        <v>92</v>
      </c>
      <c r="H31" s="252" t="s">
        <v>91</v>
      </c>
      <c r="I31" s="402" t="s">
        <v>91</v>
      </c>
      <c r="J31" s="252" t="s">
        <v>92</v>
      </c>
      <c r="K31" s="252" t="s">
        <v>91</v>
      </c>
      <c r="L31" s="252" t="s">
        <v>91</v>
      </c>
      <c r="M31" s="252" t="s">
        <v>91</v>
      </c>
      <c r="N31" s="252" t="s">
        <v>91</v>
      </c>
      <c r="O31" s="252" t="s">
        <v>117</v>
      </c>
      <c r="P31" s="402" t="s">
        <v>91</v>
      </c>
      <c r="Q31" s="252" t="s">
        <v>91</v>
      </c>
      <c r="R31" s="252" t="s">
        <v>91</v>
      </c>
      <c r="S31" s="402" t="s">
        <v>91</v>
      </c>
      <c r="T31" s="252" t="s">
        <v>91</v>
      </c>
      <c r="U31" s="252" t="s">
        <v>91</v>
      </c>
      <c r="V31" s="252" t="s">
        <v>91</v>
      </c>
      <c r="W31" s="402" t="s">
        <v>91</v>
      </c>
      <c r="X31" s="252" t="s">
        <v>117</v>
      </c>
      <c r="Y31" s="252" t="s">
        <v>91</v>
      </c>
      <c r="Z31" s="252" t="s">
        <v>91</v>
      </c>
      <c r="AA31" s="252" t="s">
        <v>91</v>
      </c>
      <c r="AB31" s="252" t="s">
        <v>92</v>
      </c>
      <c r="AC31" s="402" t="s">
        <v>91</v>
      </c>
      <c r="AD31" s="252" t="s">
        <v>93</v>
      </c>
      <c r="AE31" s="252" t="s">
        <v>93</v>
      </c>
      <c r="AF31" s="252" t="s">
        <v>93</v>
      </c>
      <c r="AG31" s="252" t="s">
        <v>93</v>
      </c>
      <c r="AH31" s="252" t="s">
        <v>93</v>
      </c>
      <c r="AI31" s="252" t="s">
        <v>93</v>
      </c>
    </row>
    <row r="32" ht="18.75" customHeight="1">
      <c r="A32" s="158"/>
      <c r="B32" s="135"/>
      <c r="C32" s="182" t="s">
        <v>112</v>
      </c>
      <c r="D32" s="252" t="s">
        <v>92</v>
      </c>
      <c r="E32" s="252" t="s">
        <v>91</v>
      </c>
      <c r="F32" s="252" t="s">
        <v>91</v>
      </c>
      <c r="G32" s="252" t="s">
        <v>92</v>
      </c>
      <c r="H32" s="252" t="s">
        <v>91</v>
      </c>
      <c r="I32" s="402" t="s">
        <v>91</v>
      </c>
      <c r="J32" s="252" t="s">
        <v>91</v>
      </c>
      <c r="K32" s="252" t="s">
        <v>91</v>
      </c>
      <c r="L32" s="252" t="s">
        <v>91</v>
      </c>
      <c r="M32" s="252" t="s">
        <v>91</v>
      </c>
      <c r="N32" s="252" t="s">
        <v>91</v>
      </c>
      <c r="O32" s="252" t="s">
        <v>117</v>
      </c>
      <c r="P32" s="402" t="s">
        <v>92</v>
      </c>
      <c r="Q32" s="252" t="s">
        <v>91</v>
      </c>
      <c r="R32" s="252" t="s">
        <v>91</v>
      </c>
      <c r="S32" s="402" t="s">
        <v>91</v>
      </c>
      <c r="T32" s="252" t="s">
        <v>91</v>
      </c>
      <c r="U32" s="252" t="s">
        <v>91</v>
      </c>
      <c r="V32" s="252" t="s">
        <v>91</v>
      </c>
      <c r="W32" s="402" t="s">
        <v>91</v>
      </c>
      <c r="X32" s="252" t="s">
        <v>117</v>
      </c>
      <c r="Y32" s="252" t="s">
        <v>91</v>
      </c>
      <c r="Z32" s="252" t="s">
        <v>91</v>
      </c>
      <c r="AA32" s="252" t="s">
        <v>91</v>
      </c>
      <c r="AB32" s="252" t="s">
        <v>92</v>
      </c>
      <c r="AC32" s="402" t="s">
        <v>91</v>
      </c>
      <c r="AD32" s="2217" t="s">
        <v>91</v>
      </c>
      <c r="AE32" s="2039" t="s">
        <v>91</v>
      </c>
      <c r="AF32" s="2039" t="s">
        <v>91</v>
      </c>
      <c r="AG32" s="2039" t="s">
        <v>91</v>
      </c>
      <c r="AH32" s="2064" t="s">
        <v>92</v>
      </c>
      <c r="AI32" s="2039" t="s">
        <v>91</v>
      </c>
    </row>
    <row r="33" ht="18.75" customHeight="1">
      <c r="A33" s="158"/>
      <c r="B33" s="2240" t="s">
        <v>255</v>
      </c>
      <c r="C33" s="2241" t="s">
        <v>201</v>
      </c>
      <c r="D33" s="252" t="s">
        <v>92</v>
      </c>
      <c r="E33" s="252" t="s">
        <v>91</v>
      </c>
      <c r="F33" s="252" t="s">
        <v>92</v>
      </c>
      <c r="G33" s="252" t="s">
        <v>91</v>
      </c>
      <c r="H33" s="252" t="s">
        <v>92</v>
      </c>
      <c r="I33" s="402" t="s">
        <v>92</v>
      </c>
      <c r="J33" s="252" t="s">
        <v>93</v>
      </c>
      <c r="K33" s="252" t="s">
        <v>93</v>
      </c>
      <c r="L33" s="252" t="s">
        <v>93</v>
      </c>
      <c r="M33" s="252" t="s">
        <v>93</v>
      </c>
      <c r="N33" s="252" t="s">
        <v>93</v>
      </c>
      <c r="O33" s="252" t="s">
        <v>93</v>
      </c>
      <c r="P33" s="402" t="s">
        <v>93</v>
      </c>
      <c r="Q33" s="252" t="s">
        <v>93</v>
      </c>
      <c r="R33" s="252" t="s">
        <v>93</v>
      </c>
      <c r="S33" s="402" t="s">
        <v>93</v>
      </c>
      <c r="T33" s="252" t="s">
        <v>93</v>
      </c>
      <c r="U33" s="252" t="s">
        <v>93</v>
      </c>
      <c r="V33" s="252" t="s">
        <v>93</v>
      </c>
      <c r="W33" s="402" t="s">
        <v>93</v>
      </c>
      <c r="X33" s="252" t="s">
        <v>93</v>
      </c>
      <c r="Y33" s="252" t="s">
        <v>93</v>
      </c>
      <c r="Z33" s="252" t="s">
        <v>93</v>
      </c>
      <c r="AA33" s="252" t="s">
        <v>93</v>
      </c>
      <c r="AB33" s="252" t="s">
        <v>93</v>
      </c>
      <c r="AC33" s="402" t="s">
        <v>93</v>
      </c>
      <c r="AD33" s="252" t="s">
        <v>91</v>
      </c>
      <c r="AE33" s="252" t="s">
        <v>92</v>
      </c>
      <c r="AF33" s="252" t="s">
        <v>92</v>
      </c>
      <c r="AG33" s="252" t="s">
        <v>92</v>
      </c>
      <c r="AH33" s="252" t="s">
        <v>91</v>
      </c>
      <c r="AI33" s="252" t="s">
        <v>91</v>
      </c>
    </row>
    <row r="34" ht="18.75" customHeight="1">
      <c r="A34" s="158"/>
      <c r="B34" s="135"/>
      <c r="C34" s="2351" t="s">
        <v>235</v>
      </c>
      <c r="D34" s="252" t="s">
        <v>93</v>
      </c>
      <c r="E34" s="252" t="s">
        <v>93</v>
      </c>
      <c r="F34" s="252" t="s">
        <v>93</v>
      </c>
      <c r="G34" s="252" t="s">
        <v>93</v>
      </c>
      <c r="H34" s="252" t="s">
        <v>93</v>
      </c>
      <c r="I34" s="402" t="s">
        <v>93</v>
      </c>
      <c r="J34" s="252" t="s">
        <v>118</v>
      </c>
      <c r="K34" s="252" t="s">
        <v>118</v>
      </c>
      <c r="L34" s="252" t="s">
        <v>118</v>
      </c>
      <c r="M34" s="252" t="s">
        <v>118</v>
      </c>
      <c r="N34" s="252" t="s">
        <v>118</v>
      </c>
      <c r="O34" s="252" t="s">
        <v>118</v>
      </c>
      <c r="P34" s="402" t="s">
        <v>118</v>
      </c>
      <c r="Q34" s="252" t="s">
        <v>118</v>
      </c>
      <c r="R34" s="252" t="s">
        <v>118</v>
      </c>
      <c r="S34" s="402" t="s">
        <v>118</v>
      </c>
      <c r="T34" s="252" t="s">
        <v>118</v>
      </c>
      <c r="U34" s="252" t="s">
        <v>118</v>
      </c>
      <c r="V34" s="252" t="s">
        <v>118</v>
      </c>
      <c r="W34" s="402" t="s">
        <v>118</v>
      </c>
      <c r="X34" s="252" t="s">
        <v>118</v>
      </c>
      <c r="Y34" s="252" t="s">
        <v>118</v>
      </c>
      <c r="Z34" s="252" t="s">
        <v>118</v>
      </c>
      <c r="AA34" s="252" t="s">
        <v>118</v>
      </c>
      <c r="AB34" s="252" t="s">
        <v>118</v>
      </c>
      <c r="AC34" s="402" t="s">
        <v>118</v>
      </c>
      <c r="AD34" s="252" t="s">
        <v>118</v>
      </c>
      <c r="AE34" s="252" t="s">
        <v>118</v>
      </c>
      <c r="AF34" s="252" t="s">
        <v>118</v>
      </c>
      <c r="AG34" s="252" t="s">
        <v>118</v>
      </c>
      <c r="AH34" s="252" t="s">
        <v>118</v>
      </c>
      <c r="AI34" s="252" t="s">
        <v>118</v>
      </c>
    </row>
    <row r="35" ht="18.75" customHeight="1">
      <c r="A35" s="158"/>
      <c r="B35" s="135"/>
      <c r="C35" s="2242" t="s">
        <v>48</v>
      </c>
      <c r="D35" s="252" t="s">
        <v>118</v>
      </c>
      <c r="E35" s="252" t="s">
        <v>118</v>
      </c>
      <c r="F35" s="252" t="s">
        <v>118</v>
      </c>
      <c r="G35" s="252" t="s">
        <v>118</v>
      </c>
      <c r="H35" s="252" t="s">
        <v>118</v>
      </c>
      <c r="I35" s="402" t="s">
        <v>118</v>
      </c>
      <c r="J35" s="252" t="s">
        <v>92</v>
      </c>
      <c r="K35" s="252" t="s">
        <v>91</v>
      </c>
      <c r="L35" s="252" t="s">
        <v>91</v>
      </c>
      <c r="M35" s="252" t="s">
        <v>92</v>
      </c>
      <c r="N35" s="252" t="s">
        <v>91</v>
      </c>
      <c r="O35" s="252" t="s">
        <v>91</v>
      </c>
      <c r="P35" s="402" t="s">
        <v>92</v>
      </c>
      <c r="Q35" s="252" t="s">
        <v>91</v>
      </c>
      <c r="R35" s="252" t="s">
        <v>91</v>
      </c>
      <c r="S35" s="402" t="s">
        <v>91</v>
      </c>
      <c r="T35" s="252" t="s">
        <v>92</v>
      </c>
      <c r="U35" s="252" t="s">
        <v>91</v>
      </c>
      <c r="V35" s="252" t="s">
        <v>92</v>
      </c>
      <c r="W35" s="402" t="s">
        <v>92</v>
      </c>
      <c r="X35" s="252" t="s">
        <v>91</v>
      </c>
      <c r="Y35" s="252" t="s">
        <v>92</v>
      </c>
      <c r="Z35" s="252" t="s">
        <v>92</v>
      </c>
      <c r="AA35" s="252" t="s">
        <v>92</v>
      </c>
      <c r="AB35" s="252" t="s">
        <v>91</v>
      </c>
      <c r="AC35" s="402" t="s">
        <v>91</v>
      </c>
      <c r="AD35" s="252" t="s">
        <v>91</v>
      </c>
      <c r="AE35" s="252" t="s">
        <v>92</v>
      </c>
      <c r="AF35" s="252" t="s">
        <v>92</v>
      </c>
      <c r="AG35" s="252" t="s">
        <v>92</v>
      </c>
      <c r="AH35" s="252" t="s">
        <v>91</v>
      </c>
      <c r="AI35" s="252" t="s">
        <v>91</v>
      </c>
    </row>
    <row r="36" ht="18.75" customHeight="1">
      <c r="A36" s="158"/>
      <c r="B36" s="177" t="s">
        <v>333</v>
      </c>
      <c r="C36" s="178" t="s">
        <v>25</v>
      </c>
      <c r="D36" s="252" t="s">
        <v>92</v>
      </c>
      <c r="E36" s="252" t="s">
        <v>91</v>
      </c>
      <c r="F36" s="252" t="s">
        <v>91</v>
      </c>
      <c r="G36" s="252" t="s">
        <v>92</v>
      </c>
      <c r="H36" s="252" t="s">
        <v>91</v>
      </c>
      <c r="I36" s="402" t="s">
        <v>91</v>
      </c>
      <c r="J36" s="252" t="s">
        <v>91</v>
      </c>
      <c r="K36" s="252" t="s">
        <v>91</v>
      </c>
      <c r="L36" s="252" t="s">
        <v>91</v>
      </c>
      <c r="M36" s="252" t="s">
        <v>91</v>
      </c>
      <c r="N36" s="252" t="s">
        <v>91</v>
      </c>
      <c r="O36" s="252" t="s">
        <v>91</v>
      </c>
      <c r="P36" s="402" t="s">
        <v>91</v>
      </c>
      <c r="Q36" s="252" t="s">
        <v>91</v>
      </c>
      <c r="R36" s="252" t="s">
        <v>91</v>
      </c>
      <c r="S36" s="402" t="s">
        <v>91</v>
      </c>
      <c r="T36" s="252" t="s">
        <v>91</v>
      </c>
      <c r="U36" s="252" t="s">
        <v>91</v>
      </c>
      <c r="V36" s="252" t="s">
        <v>91</v>
      </c>
      <c r="W36" s="402" t="s">
        <v>91</v>
      </c>
      <c r="X36" s="252" t="s">
        <v>91</v>
      </c>
      <c r="Y36" s="252" t="s">
        <v>91</v>
      </c>
      <c r="Z36" s="252" t="s">
        <v>91</v>
      </c>
      <c r="AA36" s="252" t="s">
        <v>91</v>
      </c>
      <c r="AB36" s="252" t="s">
        <v>92</v>
      </c>
      <c r="AC36" s="402" t="s">
        <v>92</v>
      </c>
      <c r="AD36" s="252" t="s">
        <v>91</v>
      </c>
      <c r="AE36" s="252" t="s">
        <v>91</v>
      </c>
      <c r="AF36" s="252" t="s">
        <v>91</v>
      </c>
      <c r="AG36" s="252" t="s">
        <v>91</v>
      </c>
      <c r="AH36" s="252" t="s">
        <v>92</v>
      </c>
      <c r="AI36" s="252" t="s">
        <v>91</v>
      </c>
    </row>
    <row r="37" ht="18.75" customHeight="1">
      <c r="A37" s="158"/>
      <c r="B37" s="135"/>
      <c r="C37" s="179" t="s">
        <v>141</v>
      </c>
      <c r="D37" s="252" t="s">
        <v>92</v>
      </c>
      <c r="E37" s="252" t="s">
        <v>91</v>
      </c>
      <c r="F37" s="252" t="s">
        <v>91</v>
      </c>
      <c r="G37" s="252" t="s">
        <v>92</v>
      </c>
      <c r="H37" s="252" t="s">
        <v>91</v>
      </c>
      <c r="I37" s="402" t="s">
        <v>91</v>
      </c>
      <c r="J37" s="252" t="s">
        <v>91</v>
      </c>
      <c r="K37" s="252" t="s">
        <v>91</v>
      </c>
      <c r="L37" s="252" t="s">
        <v>91</v>
      </c>
      <c r="M37" s="252" t="s">
        <v>91</v>
      </c>
      <c r="N37" s="252" t="s">
        <v>92</v>
      </c>
      <c r="O37" s="252" t="s">
        <v>91</v>
      </c>
      <c r="P37" s="402" t="s">
        <v>91</v>
      </c>
      <c r="Q37" s="252" t="s">
        <v>91</v>
      </c>
      <c r="R37" s="252" t="s">
        <v>91</v>
      </c>
      <c r="S37" s="402" t="s">
        <v>91</v>
      </c>
      <c r="T37" s="252" t="s">
        <v>91</v>
      </c>
      <c r="U37" s="252" t="s">
        <v>91</v>
      </c>
      <c r="V37" s="252" t="s">
        <v>91</v>
      </c>
      <c r="W37" s="402" t="s">
        <v>91</v>
      </c>
      <c r="X37" s="252" t="s">
        <v>91</v>
      </c>
      <c r="Y37" s="252" t="s">
        <v>91</v>
      </c>
      <c r="Z37" s="252" t="s">
        <v>91</v>
      </c>
      <c r="AA37" s="252" t="s">
        <v>91</v>
      </c>
      <c r="AB37" s="252" t="s">
        <v>92</v>
      </c>
      <c r="AC37" s="402" t="s">
        <v>92</v>
      </c>
      <c r="AD37" s="252" t="s">
        <v>91</v>
      </c>
      <c r="AE37" s="252" t="s">
        <v>91</v>
      </c>
      <c r="AF37" s="252" t="s">
        <v>91</v>
      </c>
      <c r="AG37" s="252" t="s">
        <v>91</v>
      </c>
      <c r="AH37" s="252" t="s">
        <v>92</v>
      </c>
      <c r="AI37" s="402" t="s">
        <v>117</v>
      </c>
    </row>
    <row r="38" ht="18.75" customHeight="1">
      <c r="A38" s="191"/>
      <c r="B38" s="183" t="s">
        <v>115</v>
      </c>
      <c r="C38" s="184" t="s">
        <v>1733</v>
      </c>
      <c r="D38" s="252" t="s">
        <v>117</v>
      </c>
      <c r="E38" s="252" t="s">
        <v>117</v>
      </c>
      <c r="F38" s="252" t="s">
        <v>117</v>
      </c>
      <c r="G38" s="252" t="s">
        <v>117</v>
      </c>
      <c r="H38" s="252" t="s">
        <v>117</v>
      </c>
      <c r="I38" s="402" t="s">
        <v>117</v>
      </c>
      <c r="J38" s="252" t="s">
        <v>117</v>
      </c>
      <c r="K38" s="252" t="s">
        <v>117</v>
      </c>
      <c r="L38" s="252" t="s">
        <v>117</v>
      </c>
      <c r="M38" s="252" t="s">
        <v>117</v>
      </c>
      <c r="N38" s="252" t="s">
        <v>117</v>
      </c>
      <c r="O38" s="252" t="s">
        <v>117</v>
      </c>
      <c r="P38" s="402" t="s">
        <v>117</v>
      </c>
      <c r="Q38" s="252" t="s">
        <v>117</v>
      </c>
      <c r="R38" s="252" t="s">
        <v>117</v>
      </c>
      <c r="S38" s="402" t="s">
        <v>117</v>
      </c>
      <c r="T38" s="252" t="s">
        <v>117</v>
      </c>
      <c r="U38" s="252" t="s">
        <v>117</v>
      </c>
      <c r="V38" s="252" t="s">
        <v>117</v>
      </c>
      <c r="W38" s="402" t="s">
        <v>117</v>
      </c>
      <c r="X38" s="252" t="s">
        <v>117</v>
      </c>
      <c r="Y38" s="252" t="s">
        <v>117</v>
      </c>
      <c r="Z38" s="252" t="s">
        <v>117</v>
      </c>
      <c r="AA38" s="252" t="s">
        <v>117</v>
      </c>
      <c r="AB38" s="252" t="s">
        <v>117</v>
      </c>
      <c r="AC38" s="402" t="s">
        <v>117</v>
      </c>
      <c r="AD38" s="2352" t="s">
        <v>117</v>
      </c>
      <c r="AE38" s="2051" t="s">
        <v>117</v>
      </c>
      <c r="AF38" s="2051" t="s">
        <v>117</v>
      </c>
      <c r="AG38" s="2051" t="s">
        <v>117</v>
      </c>
      <c r="AH38" s="2051" t="s">
        <v>92</v>
      </c>
      <c r="AI38" s="2245" t="s">
        <v>91</v>
      </c>
    </row>
    <row r="39" ht="11.25" customHeight="1">
      <c r="A39" s="261"/>
      <c r="B39" s="261"/>
      <c r="C39" s="261"/>
      <c r="D39" s="2252" t="str">
        <f t="shared" ref="D39:AI39" si="3">CONCATENATE("{""status"": ", IF(GT(D40, D41), """aangenomen""", """verworpen"""), ", ""title"": """, D5, """, ""url"": """,D22  , """, ""voor"":", D40,", ""tegen"": ", D41, ", ""onthouden"":", D42, "}")</f>
        <v>{"status": "verworpen", "title": "M0111", "url": "https://www.reddit.com/r/RMTK/comments/d88vec/m0111_motie_tot_horecadienstplicht/", "voor":1, "tegen": 19, "onthouden":1}</v>
      </c>
      <c r="E39" s="2253" t="str">
        <f t="shared" si="3"/>
        <v>{"status": "aangenomen", "title": "M0112", "url": "https://www.reddit.com/r/RMTK/comments/d8u34t/m0112_motie_tot_het_stimuleren_van_de_bouw_van/", "voor":20, "tegen": 1, "onthouden":1}</v>
      </c>
      <c r="F39" s="2253" t="str">
        <f t="shared" si="3"/>
        <v>{"status": "aangenomen", "title": "W0041-I", "url": "https://www.reddit.com/r/RMTK/comments/dit9bu/w0041i_amendement_belastingwet_meervoudig/", "voor":16, "tegen": 5, "onthouden":1}</v>
      </c>
      <c r="G39" s="2253" t="str">
        <f t="shared" si="3"/>
        <v>{"status": "verworpen", "title": "W0042-I", "url": "https://www.reddit.com/r/RMTK/comments/djbute/w0042i_amendement_wet_tot_goedkeuring_aankoop/", "voor":7, "tegen": 14, "onthouden":1}</v>
      </c>
      <c r="H39" s="2253" t="str">
        <f t="shared" si="3"/>
        <v>{"status": "aangenomen", "title": "W0039", "url": "https://www.reddit.com/r/RMTK/comments/d2a3yu/w0039_wetsvoorstel_versoepeling_opiumwet/", "voor":12, "tegen": 9, "onthouden":1}</v>
      </c>
      <c r="I39" s="2253" t="str">
        <f t="shared" si="3"/>
        <v>{"status": "aangenomen", "title": "W0043", "url": "https://www.reddit.com/r/RMTK/comments/d9pe1o/w0043_wijziging_wetboek_van_strafrecht_artikel_23/", "voor":11, "tegen": 4, "onthouden":7}</v>
      </c>
      <c r="J39" s="2253" t="str">
        <f t="shared" si="3"/>
        <v>{"status": "aangenomen", "title": "M0114", "url": "https://www.reddit.com/r/RMTK/comments/djsqad/m0114_motie_omtrent_het_mogelijke_finse/", "voor":11, "tegen": 7, "onthouden":2}</v>
      </c>
      <c r="K39" s="2253" t="str">
        <f t="shared" si="3"/>
        <v>{"status": "aangenomen", "title": "M0115", "url": "https://www.reddit.com/r/RMTK/comments/dkz8sk/m0115_motie_van_treurnis_omtrent_de_voornemens/", "voor":9, "tegen": 8, "onthouden":3}</v>
      </c>
      <c r="L39" s="2253" t="str">
        <f t="shared" si="3"/>
        <v>{"status": "aangenomen", "title": "M0116", "url": "https://www.reddit.com/r/RMTK/comments/dml67f/m0116_motie_tot_verlaging_van_de_aowleeftijd_naar/", "voor":11, "tegen": 8, "onthouden":1}</v>
      </c>
      <c r="M39" s="2253" t="str">
        <f t="shared" si="3"/>
        <v>{"status": "aangenomen", "title": "W0041", "url": "https://www.reddit.com/r/RMTK/comments/d88tka/w0041_belastingwet_meervoudig_woningbezit/", "voor":13, "tegen": 5, "onthouden":1}</v>
      </c>
      <c r="N39" s="2253" t="str">
        <f t="shared" si="3"/>
        <v>{"status": "aangenomen", "title": "W0042", "url": "https://www.reddit.com/r/RMTK/comments/d93cgv/w0042_wet_tot_goedkeuring_aankoop_vijf_f35a_2019/", "voor":16, "tegen": 1, "onthouden":2}</v>
      </c>
      <c r="O39" s="2253" t="str">
        <f t="shared" si="3"/>
        <v>{"status": "aangenomen", "title": "W0044", "url": "https://www.reddit.com/r/RMTK/comments/dkz3ba/w0043_intrekkingswet_accijnswet/", "voor":8, "tegen": 7, "onthouden":5}</v>
      </c>
      <c r="P39" s="2255" t="str">
        <f t="shared" si="3"/>
        <v>{"status": "aangenomen", "title": "W0045", "url": "https://www.reddit.com/r/RMTK/comments/dm1lyl/w0044_noodwet_stikfstofverbindingsproblematiek/", "voor":10, "tegen": 9, "onthouden":1}</v>
      </c>
      <c r="Q39" s="2253" t="str">
        <f t="shared" si="3"/>
        <v>{"status": "aangenomen", "title": "M0117", "url": "https://www.reddit.com/r/RMTK/comments/dotujc/m0117_motie_omtrent_een_bindend_correctief/", "voor":11, "tegen": 9, "onthouden":1}</v>
      </c>
      <c r="R39" s="2253" t="str">
        <f t="shared" si="3"/>
        <v>{"status": "aangenomen", "title": "M0118", "url": "https://www.reddit.com/r/RMTK/comments/dp857b/m0118_motie_tot_het_maken_van_een_vrije_dag_van/", "voor":20, "tegen": 0, "onthouden":1}</v>
      </c>
      <c r="S39" s="2255" t="str">
        <f t="shared" si="3"/>
        <v>{"status": "aangenomen", "title": "M0119", "url": "https://www.reddit.com/r/RMTK/comments/dpnpjp/m0119_motie_tot_toevoeging/", "voor":20, "tegen": 0, "onthouden":1}</v>
      </c>
      <c r="T39" s="2253" t="str">
        <f t="shared" si="3"/>
        <v>{"status": "aangenomen", "title": "M0120", "url": "https://www.reddit.com/r/RMTK/comments/drl0sa/m0120_motie_tot_de_aanpak_van_intensieve/", "voor":12, "tegen": 7, "onthouden":1}</v>
      </c>
      <c r="U39" s="2253" t="str">
        <f t="shared" si="3"/>
        <v>{"status": "aangenomen", "title": "M0121", "url": "https://www.reddit.com/r/RMTK/comments/dt2s9z/m0121_motie_aangaande_het_opschorten_van_het/", "voor":18, "tegen": 1, "onthouden":1}</v>
      </c>
      <c r="V39" s="2253" t="str">
        <f t="shared" si="3"/>
        <v>{"status": "aangenomen", "title": "W0046", "url": "https://www.reddit.com/r/RMTK/comments/ds2nrf/w0046_rijksbegroting_2020_buitenlandse_zaken/", "voor":13, "tegen": 6, "onthouden":1}</v>
      </c>
      <c r="W39" s="2253" t="str">
        <f t="shared" si="3"/>
        <v>{"status": "aangenomen", "title": "W0047", "url": "https://www.reddit.com/r/RMTK/comments/ds2nu7/w0047_rijksbegroting_2020_defensie_en/", "voor":13, "tegen": 6, "onthouden":1}</v>
      </c>
      <c r="X39" s="2253" t="str">
        <f t="shared" si="3"/>
        <v>{"status": "aangenomen", "title": "W0048-I", "url": "https://www.reddit.com/r/RMTK/comments/dtj67r/w0048i_amendement_sanctiewet_republiek_turkije/", "voor":9, "tegen": 2, "onthouden":6}</v>
      </c>
      <c r="Y39" s="2253" t="str">
        <f t="shared" si="3"/>
        <v>{"status": "aangenomen", "title": "W0048-II", "url": "https://www.reddit.com/r/RMTK/comments/dtjaf2/amendement_sanctiewet_republiek_turkije_turkse/", "voor":11, "tegen": 3, "onthouden":3}</v>
      </c>
      <c r="Z39" s="2253" t="str">
        <f t="shared" si="3"/>
        <v>{"status": "aangenomen", "title": "M0122", "url": "https://www.reddit.com/r/RMTK/comments/duvmyy/m0122_motie_tot_een_totaalverbod_op/", "voor":10, "tegen": 5, "onthouden":2}</v>
      </c>
      <c r="AA39" s="2253" t="str">
        <f t="shared" si="3"/>
        <v>{"status": "aangenomen", "title": "W0049", "url": "https://www.reddit.com/r/RMTK/comments/dvhfjp/w0049_wetswijziging_tot_toestaan_polyamorisch/", "voor":8, "tegen": 7, "onthouden":2}</v>
      </c>
      <c r="AB39" s="2253" t="str">
        <f t="shared" si="3"/>
        <v>{"status": "aangenomen", "title": "W0050", "url": "https://www.reddit.com/r/RMTK/comments/dvxgay/w0050_intrekkingswetsvoorstel_wetswijzing/", "voor":10, "tegen": 6, "onthouden":1}</v>
      </c>
      <c r="AC39" s="2255" t="str">
        <f t="shared" si="3"/>
        <v>{"status": "verworpen", "title": "W0051", "url": "https://www.reddit.com/r/RMTK/comments/dwce3f/w0051_wijziging_van_de_grondwet_vanwege_het/", "voor":6, "tegen": 10, "onthouden":1}</v>
      </c>
      <c r="AD39" s="2253" t="str">
        <f t="shared" si="3"/>
        <v>{"status": "aangenomen", "title": "W0048", "url": "https://www.reddit.com/r/RMTK/comments/e0q3ef/w0048_sanctiewet_republiek_turkije_2019/?", "voor":18, "tegen": 1, "onthouden":1}</v>
      </c>
      <c r="AE39" s="2253" t="str">
        <f t="shared" si="3"/>
        <v>{"status": "aangenomen", "title": "W0052", "url": "https://www.reddit.com/r/RMTK/comments/dy8slq/w0052_wetswijziging_ter_afschaffing_van_de/", "voor":11, "tegen": 7, "onthouden":2}</v>
      </c>
      <c r="AF39" s="2253" t="str">
        <f t="shared" si="3"/>
        <v>{"status": "aangenomen", "title": "M0124", "url": "https://www.reddit.com/r/RMTK/comments/dynhk0/m0124_motie_tot_onderzoek_naar_gedecentraliseerde/", "voor":16, "tegen": 3, "onthouden":1}</v>
      </c>
      <c r="AG39" s="2253" t="str">
        <f t="shared" si="3"/>
        <v>{"status": "aangenomen", "title": "M0125", "url": "https://www.reddit.com/r/RMTK/comments/dz8jqi/m0125_motie_tot_terughalen_irak_en_syri%C3%ABgangers/", "voor":10, "tegen": 9, "onthouden":1}</v>
      </c>
      <c r="AH39" s="2253" t="str">
        <f t="shared" si="3"/>
        <v>{"status": "verworpen", "title": "W0053", "url": "https://www.reddit.com/r/RMTK/comments/dzl2ov/w0053_wet_bestrijding_friese_terreur/", "voor":8, "tegen": 12, "onthouden":0}</v>
      </c>
      <c r="AI39" s="2253" t="str">
        <f t="shared" si="3"/>
        <v>{"status": "aangenomen", "title": "M0130", "url": "https://www.reddit.com/r/RMTK/comments/dzpvs1/m0130_motie_van_wantrouwen_jegens_kabinet_house/", "voor":13, "tegen": 6, "onthouden":1}</v>
      </c>
    </row>
    <row r="40" ht="18.0" customHeight="1">
      <c r="A40" s="198" t="s">
        <v>119</v>
      </c>
      <c r="B40" s="199" t="s">
        <v>91</v>
      </c>
      <c r="C40" s="44"/>
      <c r="D40" s="2183">
        <f t="shared" ref="D40:AI40" si="4">COUNTIF(D5:D38,"Voor")</f>
        <v>1</v>
      </c>
      <c r="E40" s="2183">
        <f t="shared" si="4"/>
        <v>20</v>
      </c>
      <c r="F40" s="2183">
        <f t="shared" si="4"/>
        <v>16</v>
      </c>
      <c r="G40" s="2183">
        <f t="shared" si="4"/>
        <v>7</v>
      </c>
      <c r="H40" s="2183">
        <f t="shared" si="4"/>
        <v>12</v>
      </c>
      <c r="I40" s="2183">
        <f t="shared" si="4"/>
        <v>11</v>
      </c>
      <c r="J40" s="2183">
        <f t="shared" si="4"/>
        <v>11</v>
      </c>
      <c r="K40" s="2183">
        <f t="shared" si="4"/>
        <v>9</v>
      </c>
      <c r="L40" s="2183">
        <f t="shared" si="4"/>
        <v>11</v>
      </c>
      <c r="M40" s="2183">
        <f t="shared" si="4"/>
        <v>13</v>
      </c>
      <c r="N40" s="2183">
        <f t="shared" si="4"/>
        <v>16</v>
      </c>
      <c r="O40" s="2183">
        <f t="shared" si="4"/>
        <v>8</v>
      </c>
      <c r="P40" s="2183">
        <f t="shared" si="4"/>
        <v>10</v>
      </c>
      <c r="Q40" s="2183">
        <f t="shared" si="4"/>
        <v>11</v>
      </c>
      <c r="R40" s="2183">
        <f t="shared" si="4"/>
        <v>20</v>
      </c>
      <c r="S40" s="2183">
        <f t="shared" si="4"/>
        <v>20</v>
      </c>
      <c r="T40" s="2183">
        <f t="shared" si="4"/>
        <v>12</v>
      </c>
      <c r="U40" s="2183">
        <f t="shared" si="4"/>
        <v>18</v>
      </c>
      <c r="V40" s="2183">
        <f t="shared" si="4"/>
        <v>13</v>
      </c>
      <c r="W40" s="2183">
        <f t="shared" si="4"/>
        <v>13</v>
      </c>
      <c r="X40" s="2183">
        <f t="shared" si="4"/>
        <v>9</v>
      </c>
      <c r="Y40" s="2183">
        <f t="shared" si="4"/>
        <v>11</v>
      </c>
      <c r="Z40" s="2183">
        <f t="shared" si="4"/>
        <v>10</v>
      </c>
      <c r="AA40" s="2183">
        <f t="shared" si="4"/>
        <v>8</v>
      </c>
      <c r="AB40" s="2183">
        <f t="shared" si="4"/>
        <v>10</v>
      </c>
      <c r="AC40" s="2183">
        <f t="shared" si="4"/>
        <v>6</v>
      </c>
      <c r="AD40" s="2183">
        <f t="shared" si="4"/>
        <v>18</v>
      </c>
      <c r="AE40" s="2183">
        <f t="shared" si="4"/>
        <v>11</v>
      </c>
      <c r="AF40" s="2183">
        <f t="shared" si="4"/>
        <v>16</v>
      </c>
      <c r="AG40" s="2183">
        <f t="shared" si="4"/>
        <v>10</v>
      </c>
      <c r="AH40" s="2183">
        <f t="shared" si="4"/>
        <v>8</v>
      </c>
      <c r="AI40" s="2183">
        <f t="shared" si="4"/>
        <v>13</v>
      </c>
    </row>
    <row r="41" ht="18.75" customHeight="1">
      <c r="A41" s="44"/>
      <c r="B41" s="203" t="s">
        <v>92</v>
      </c>
      <c r="C41" s="44"/>
      <c r="D41" s="2187">
        <f t="shared" ref="D41:AI41" si="5">COUNTIF(D5:D38,"Tegen")</f>
        <v>19</v>
      </c>
      <c r="E41" s="2187">
        <f t="shared" si="5"/>
        <v>1</v>
      </c>
      <c r="F41" s="2187">
        <f t="shared" si="5"/>
        <v>5</v>
      </c>
      <c r="G41" s="2187">
        <f t="shared" si="5"/>
        <v>14</v>
      </c>
      <c r="H41" s="2187">
        <f t="shared" si="5"/>
        <v>9</v>
      </c>
      <c r="I41" s="2187">
        <f t="shared" si="5"/>
        <v>4</v>
      </c>
      <c r="J41" s="2187">
        <f t="shared" si="5"/>
        <v>7</v>
      </c>
      <c r="K41" s="2187">
        <f t="shared" si="5"/>
        <v>8</v>
      </c>
      <c r="L41" s="2187">
        <f t="shared" si="5"/>
        <v>8</v>
      </c>
      <c r="M41" s="2187">
        <f t="shared" si="5"/>
        <v>5</v>
      </c>
      <c r="N41" s="2187">
        <f t="shared" si="5"/>
        <v>1</v>
      </c>
      <c r="O41" s="2187">
        <f t="shared" si="5"/>
        <v>7</v>
      </c>
      <c r="P41" s="2187">
        <f t="shared" si="5"/>
        <v>9</v>
      </c>
      <c r="Q41" s="2187">
        <f t="shared" si="5"/>
        <v>9</v>
      </c>
      <c r="R41" s="2187">
        <f t="shared" si="5"/>
        <v>0</v>
      </c>
      <c r="S41" s="2187">
        <f t="shared" si="5"/>
        <v>0</v>
      </c>
      <c r="T41" s="2187">
        <f t="shared" si="5"/>
        <v>7</v>
      </c>
      <c r="U41" s="2187">
        <f t="shared" si="5"/>
        <v>1</v>
      </c>
      <c r="V41" s="2187">
        <f t="shared" si="5"/>
        <v>6</v>
      </c>
      <c r="W41" s="2187">
        <f t="shared" si="5"/>
        <v>6</v>
      </c>
      <c r="X41" s="2187">
        <f t="shared" si="5"/>
        <v>2</v>
      </c>
      <c r="Y41" s="2187">
        <f t="shared" si="5"/>
        <v>3</v>
      </c>
      <c r="Z41" s="2187">
        <f t="shared" si="5"/>
        <v>5</v>
      </c>
      <c r="AA41" s="2187">
        <f t="shared" si="5"/>
        <v>7</v>
      </c>
      <c r="AB41" s="2187">
        <f t="shared" si="5"/>
        <v>6</v>
      </c>
      <c r="AC41" s="2187">
        <f t="shared" si="5"/>
        <v>10</v>
      </c>
      <c r="AD41" s="2187">
        <f t="shared" si="5"/>
        <v>1</v>
      </c>
      <c r="AE41" s="2187">
        <f t="shared" si="5"/>
        <v>7</v>
      </c>
      <c r="AF41" s="2187">
        <f t="shared" si="5"/>
        <v>3</v>
      </c>
      <c r="AG41" s="2187">
        <f t="shared" si="5"/>
        <v>9</v>
      </c>
      <c r="AH41" s="2187">
        <f t="shared" si="5"/>
        <v>12</v>
      </c>
      <c r="AI41" s="2187">
        <f t="shared" si="5"/>
        <v>6</v>
      </c>
    </row>
    <row r="42" ht="18.75" customHeight="1">
      <c r="A42" s="44"/>
      <c r="B42" s="207" t="s">
        <v>120</v>
      </c>
      <c r="C42" s="44"/>
      <c r="D42" s="2191">
        <f t="shared" ref="D42:AI42" si="6">COUNTIF(D5:D38,"SO")</f>
        <v>1</v>
      </c>
      <c r="E42" s="2191">
        <f t="shared" si="6"/>
        <v>1</v>
      </c>
      <c r="F42" s="2191">
        <f t="shared" si="6"/>
        <v>1</v>
      </c>
      <c r="G42" s="2191">
        <f t="shared" si="6"/>
        <v>1</v>
      </c>
      <c r="H42" s="2191">
        <f t="shared" si="6"/>
        <v>1</v>
      </c>
      <c r="I42" s="2191">
        <f t="shared" si="6"/>
        <v>7</v>
      </c>
      <c r="J42" s="2191">
        <f t="shared" si="6"/>
        <v>2</v>
      </c>
      <c r="K42" s="2191">
        <f t="shared" si="6"/>
        <v>3</v>
      </c>
      <c r="L42" s="2191">
        <f t="shared" si="6"/>
        <v>1</v>
      </c>
      <c r="M42" s="2191">
        <f t="shared" si="6"/>
        <v>1</v>
      </c>
      <c r="N42" s="2191">
        <f t="shared" si="6"/>
        <v>2</v>
      </c>
      <c r="O42" s="2191">
        <f t="shared" si="6"/>
        <v>5</v>
      </c>
      <c r="P42" s="2191">
        <f t="shared" si="6"/>
        <v>1</v>
      </c>
      <c r="Q42" s="2191">
        <f t="shared" si="6"/>
        <v>1</v>
      </c>
      <c r="R42" s="2191">
        <f t="shared" si="6"/>
        <v>1</v>
      </c>
      <c r="S42" s="2191">
        <f t="shared" si="6"/>
        <v>1</v>
      </c>
      <c r="T42" s="2191">
        <f t="shared" si="6"/>
        <v>1</v>
      </c>
      <c r="U42" s="2191">
        <f t="shared" si="6"/>
        <v>1</v>
      </c>
      <c r="V42" s="2191">
        <f t="shared" si="6"/>
        <v>1</v>
      </c>
      <c r="W42" s="2191">
        <f t="shared" si="6"/>
        <v>1</v>
      </c>
      <c r="X42" s="2191">
        <f t="shared" si="6"/>
        <v>6</v>
      </c>
      <c r="Y42" s="2191">
        <f t="shared" si="6"/>
        <v>3</v>
      </c>
      <c r="Z42" s="2191">
        <f t="shared" si="6"/>
        <v>2</v>
      </c>
      <c r="AA42" s="2191">
        <f t="shared" si="6"/>
        <v>2</v>
      </c>
      <c r="AB42" s="2191">
        <f t="shared" si="6"/>
        <v>1</v>
      </c>
      <c r="AC42" s="2191">
        <f t="shared" si="6"/>
        <v>1</v>
      </c>
      <c r="AD42" s="2191">
        <f t="shared" si="6"/>
        <v>1</v>
      </c>
      <c r="AE42" s="2191">
        <f t="shared" si="6"/>
        <v>2</v>
      </c>
      <c r="AF42" s="2191">
        <f t="shared" si="6"/>
        <v>1</v>
      </c>
      <c r="AG42" s="2191">
        <f t="shared" si="6"/>
        <v>1</v>
      </c>
      <c r="AH42" s="2191">
        <f t="shared" si="6"/>
        <v>0</v>
      </c>
      <c r="AI42" s="2191">
        <f t="shared" si="6"/>
        <v>1</v>
      </c>
    </row>
    <row r="43" ht="18.75" customHeight="1">
      <c r="A43" s="44"/>
      <c r="B43" s="211" t="s">
        <v>121</v>
      </c>
      <c r="C43" s="44"/>
      <c r="D43" s="2195">
        <f t="shared" ref="D43:AI43" si="7">COUNTIF(D5:D38,"NG")</f>
        <v>4</v>
      </c>
      <c r="E43" s="2195">
        <f t="shared" si="7"/>
        <v>3</v>
      </c>
      <c r="F43" s="2195">
        <f t="shared" si="7"/>
        <v>3</v>
      </c>
      <c r="G43" s="2195">
        <f t="shared" si="7"/>
        <v>3</v>
      </c>
      <c r="H43" s="2195">
        <f t="shared" si="7"/>
        <v>3</v>
      </c>
      <c r="I43" s="2195">
        <f t="shared" si="7"/>
        <v>3</v>
      </c>
      <c r="J43" s="2195">
        <f t="shared" si="7"/>
        <v>5</v>
      </c>
      <c r="K43" s="2195">
        <f t="shared" si="7"/>
        <v>5</v>
      </c>
      <c r="L43" s="2195">
        <f t="shared" si="7"/>
        <v>5</v>
      </c>
      <c r="M43" s="2195">
        <f t="shared" si="7"/>
        <v>6</v>
      </c>
      <c r="N43" s="2195">
        <f t="shared" si="7"/>
        <v>6</v>
      </c>
      <c r="O43" s="2195">
        <f t="shared" si="7"/>
        <v>5</v>
      </c>
      <c r="P43" s="2195">
        <f t="shared" si="7"/>
        <v>5</v>
      </c>
      <c r="Q43" s="2195">
        <f t="shared" si="7"/>
        <v>4</v>
      </c>
      <c r="R43" s="2195">
        <f t="shared" si="7"/>
        <v>4</v>
      </c>
      <c r="S43" s="2195">
        <f t="shared" si="7"/>
        <v>4</v>
      </c>
      <c r="T43" s="2195">
        <f t="shared" si="7"/>
        <v>5</v>
      </c>
      <c r="U43" s="2195">
        <f t="shared" si="7"/>
        <v>5</v>
      </c>
      <c r="V43" s="2195">
        <f t="shared" si="7"/>
        <v>5</v>
      </c>
      <c r="W43" s="2195">
        <f t="shared" si="7"/>
        <v>5</v>
      </c>
      <c r="X43" s="2195">
        <f t="shared" si="7"/>
        <v>8</v>
      </c>
      <c r="Y43" s="2195">
        <f t="shared" si="7"/>
        <v>8</v>
      </c>
      <c r="Z43" s="2195">
        <f t="shared" si="7"/>
        <v>8</v>
      </c>
      <c r="AA43" s="2195">
        <f t="shared" si="7"/>
        <v>8</v>
      </c>
      <c r="AB43" s="2195">
        <f t="shared" si="7"/>
        <v>8</v>
      </c>
      <c r="AC43" s="2195">
        <f t="shared" si="7"/>
        <v>8</v>
      </c>
      <c r="AD43" s="2195">
        <f t="shared" si="7"/>
        <v>5</v>
      </c>
      <c r="AE43" s="2195">
        <f t="shared" si="7"/>
        <v>5</v>
      </c>
      <c r="AF43" s="2195">
        <f t="shared" si="7"/>
        <v>5</v>
      </c>
      <c r="AG43" s="2195">
        <f t="shared" si="7"/>
        <v>5</v>
      </c>
      <c r="AH43" s="2195">
        <f t="shared" si="7"/>
        <v>5</v>
      </c>
      <c r="AI43" s="2195">
        <f t="shared" si="7"/>
        <v>5</v>
      </c>
    </row>
    <row r="44" ht="18.75" customHeight="1">
      <c r="A44" s="44"/>
      <c r="B44" s="215" t="s">
        <v>122</v>
      </c>
      <c r="C44" s="44"/>
      <c r="D44" s="273">
        <f t="shared" ref="D44:AI44" si="8">SUM(D40:D43)</f>
        <v>25</v>
      </c>
      <c r="E44" s="273">
        <f t="shared" si="8"/>
        <v>25</v>
      </c>
      <c r="F44" s="273">
        <f t="shared" si="8"/>
        <v>25</v>
      </c>
      <c r="G44" s="273">
        <f t="shared" si="8"/>
        <v>25</v>
      </c>
      <c r="H44" s="273">
        <f t="shared" si="8"/>
        <v>25</v>
      </c>
      <c r="I44" s="273">
        <f t="shared" si="8"/>
        <v>25</v>
      </c>
      <c r="J44" s="273">
        <f t="shared" si="8"/>
        <v>25</v>
      </c>
      <c r="K44" s="273">
        <f t="shared" si="8"/>
        <v>25</v>
      </c>
      <c r="L44" s="273">
        <f t="shared" si="8"/>
        <v>25</v>
      </c>
      <c r="M44" s="273">
        <f t="shared" si="8"/>
        <v>25</v>
      </c>
      <c r="N44" s="273">
        <f t="shared" si="8"/>
        <v>25</v>
      </c>
      <c r="O44" s="273">
        <f t="shared" si="8"/>
        <v>25</v>
      </c>
      <c r="P44" s="273">
        <f t="shared" si="8"/>
        <v>25</v>
      </c>
      <c r="Q44" s="273">
        <f t="shared" si="8"/>
        <v>25</v>
      </c>
      <c r="R44" s="273">
        <f t="shared" si="8"/>
        <v>25</v>
      </c>
      <c r="S44" s="273">
        <f t="shared" si="8"/>
        <v>25</v>
      </c>
      <c r="T44" s="273">
        <f t="shared" si="8"/>
        <v>25</v>
      </c>
      <c r="U44" s="273">
        <f t="shared" si="8"/>
        <v>25</v>
      </c>
      <c r="V44" s="273">
        <f t="shared" si="8"/>
        <v>25</v>
      </c>
      <c r="W44" s="273">
        <f t="shared" si="8"/>
        <v>25</v>
      </c>
      <c r="X44" s="273">
        <f t="shared" si="8"/>
        <v>25</v>
      </c>
      <c r="Y44" s="273">
        <f t="shared" si="8"/>
        <v>25</v>
      </c>
      <c r="Z44" s="273">
        <f t="shared" si="8"/>
        <v>25</v>
      </c>
      <c r="AA44" s="273">
        <f t="shared" si="8"/>
        <v>25</v>
      </c>
      <c r="AB44" s="273">
        <f t="shared" si="8"/>
        <v>25</v>
      </c>
      <c r="AC44" s="273">
        <f t="shared" si="8"/>
        <v>25</v>
      </c>
      <c r="AD44" s="273">
        <f t="shared" si="8"/>
        <v>25</v>
      </c>
      <c r="AE44" s="273">
        <f t="shared" si="8"/>
        <v>25</v>
      </c>
      <c r="AF44" s="273">
        <f t="shared" si="8"/>
        <v>25</v>
      </c>
      <c r="AG44" s="273">
        <f t="shared" si="8"/>
        <v>25</v>
      </c>
      <c r="AH44" s="273">
        <f t="shared" si="8"/>
        <v>25</v>
      </c>
      <c r="AI44" s="273">
        <f t="shared" si="8"/>
        <v>25</v>
      </c>
    </row>
    <row r="45" ht="18.75" customHeight="1">
      <c r="A45" s="44"/>
      <c r="B45" s="224" t="s">
        <v>124</v>
      </c>
      <c r="C45" s="44"/>
      <c r="D45" s="279">
        <f t="shared" ref="D45:AI45" si="9">D40+D41+D42</f>
        <v>21</v>
      </c>
      <c r="E45" s="279">
        <f t="shared" si="9"/>
        <v>22</v>
      </c>
      <c r="F45" s="279">
        <f t="shared" si="9"/>
        <v>22</v>
      </c>
      <c r="G45" s="279">
        <f t="shared" si="9"/>
        <v>22</v>
      </c>
      <c r="H45" s="279">
        <f t="shared" si="9"/>
        <v>22</v>
      </c>
      <c r="I45" s="279">
        <f t="shared" si="9"/>
        <v>22</v>
      </c>
      <c r="J45" s="279">
        <f t="shared" si="9"/>
        <v>20</v>
      </c>
      <c r="K45" s="279">
        <f t="shared" si="9"/>
        <v>20</v>
      </c>
      <c r="L45" s="279">
        <f t="shared" si="9"/>
        <v>20</v>
      </c>
      <c r="M45" s="279">
        <f t="shared" si="9"/>
        <v>19</v>
      </c>
      <c r="N45" s="279">
        <f t="shared" si="9"/>
        <v>19</v>
      </c>
      <c r="O45" s="279">
        <f t="shared" si="9"/>
        <v>20</v>
      </c>
      <c r="P45" s="279">
        <f t="shared" si="9"/>
        <v>20</v>
      </c>
      <c r="Q45" s="279">
        <f t="shared" si="9"/>
        <v>21</v>
      </c>
      <c r="R45" s="279">
        <f t="shared" si="9"/>
        <v>21</v>
      </c>
      <c r="S45" s="279">
        <f t="shared" si="9"/>
        <v>21</v>
      </c>
      <c r="T45" s="279">
        <f t="shared" si="9"/>
        <v>20</v>
      </c>
      <c r="U45" s="279">
        <f t="shared" si="9"/>
        <v>20</v>
      </c>
      <c r="V45" s="279">
        <f t="shared" si="9"/>
        <v>20</v>
      </c>
      <c r="W45" s="279">
        <f t="shared" si="9"/>
        <v>20</v>
      </c>
      <c r="X45" s="279">
        <f t="shared" si="9"/>
        <v>17</v>
      </c>
      <c r="Y45" s="279">
        <f t="shared" si="9"/>
        <v>17</v>
      </c>
      <c r="Z45" s="279">
        <f t="shared" si="9"/>
        <v>17</v>
      </c>
      <c r="AA45" s="279">
        <f t="shared" si="9"/>
        <v>17</v>
      </c>
      <c r="AB45" s="279">
        <f t="shared" si="9"/>
        <v>17</v>
      </c>
      <c r="AC45" s="279">
        <f t="shared" si="9"/>
        <v>17</v>
      </c>
      <c r="AD45" s="279">
        <f t="shared" si="9"/>
        <v>20</v>
      </c>
      <c r="AE45" s="279">
        <f t="shared" si="9"/>
        <v>20</v>
      </c>
      <c r="AF45" s="279">
        <f t="shared" si="9"/>
        <v>20</v>
      </c>
      <c r="AG45" s="279">
        <f t="shared" si="9"/>
        <v>20</v>
      </c>
      <c r="AH45" s="279">
        <f t="shared" si="9"/>
        <v>20</v>
      </c>
      <c r="AI45" s="279">
        <f t="shared" si="9"/>
        <v>20</v>
      </c>
    </row>
    <row r="46" ht="18.75" customHeight="1">
      <c r="A46" s="228"/>
      <c r="B46" s="229" t="s">
        <v>125</v>
      </c>
      <c r="C46" s="228"/>
      <c r="D46" s="2205">
        <f t="shared" ref="D46:AI46" si="10">IFERROR(D45/D44,"")</f>
        <v>0.84</v>
      </c>
      <c r="E46" s="2205">
        <f t="shared" si="10"/>
        <v>0.88</v>
      </c>
      <c r="F46" s="2205">
        <f t="shared" si="10"/>
        <v>0.88</v>
      </c>
      <c r="G46" s="2205">
        <f t="shared" si="10"/>
        <v>0.88</v>
      </c>
      <c r="H46" s="2205">
        <f t="shared" si="10"/>
        <v>0.88</v>
      </c>
      <c r="I46" s="2205">
        <f t="shared" si="10"/>
        <v>0.88</v>
      </c>
      <c r="J46" s="2205">
        <f t="shared" si="10"/>
        <v>0.8</v>
      </c>
      <c r="K46" s="2205">
        <f t="shared" si="10"/>
        <v>0.8</v>
      </c>
      <c r="L46" s="2205">
        <f t="shared" si="10"/>
        <v>0.8</v>
      </c>
      <c r="M46" s="2205">
        <f t="shared" si="10"/>
        <v>0.76</v>
      </c>
      <c r="N46" s="2205">
        <f t="shared" si="10"/>
        <v>0.76</v>
      </c>
      <c r="O46" s="2205">
        <f t="shared" si="10"/>
        <v>0.8</v>
      </c>
      <c r="P46" s="2205">
        <f t="shared" si="10"/>
        <v>0.8</v>
      </c>
      <c r="Q46" s="2205">
        <f t="shared" si="10"/>
        <v>0.84</v>
      </c>
      <c r="R46" s="2205">
        <f t="shared" si="10"/>
        <v>0.84</v>
      </c>
      <c r="S46" s="2205">
        <f t="shared" si="10"/>
        <v>0.84</v>
      </c>
      <c r="T46" s="2205">
        <f t="shared" si="10"/>
        <v>0.8</v>
      </c>
      <c r="U46" s="2205">
        <f t="shared" si="10"/>
        <v>0.8</v>
      </c>
      <c r="V46" s="2205">
        <f t="shared" si="10"/>
        <v>0.8</v>
      </c>
      <c r="W46" s="2205">
        <f t="shared" si="10"/>
        <v>0.8</v>
      </c>
      <c r="X46" s="2205">
        <f t="shared" si="10"/>
        <v>0.68</v>
      </c>
      <c r="Y46" s="2205">
        <f t="shared" si="10"/>
        <v>0.68</v>
      </c>
      <c r="Z46" s="2205">
        <f t="shared" si="10"/>
        <v>0.68</v>
      </c>
      <c r="AA46" s="2205">
        <f t="shared" si="10"/>
        <v>0.68</v>
      </c>
      <c r="AB46" s="2205">
        <f t="shared" si="10"/>
        <v>0.68</v>
      </c>
      <c r="AC46" s="2205">
        <f t="shared" si="10"/>
        <v>0.68</v>
      </c>
      <c r="AD46" s="2205">
        <f t="shared" si="10"/>
        <v>0.8</v>
      </c>
      <c r="AE46" s="2205">
        <f t="shared" si="10"/>
        <v>0.8</v>
      </c>
      <c r="AF46" s="2205">
        <f t="shared" si="10"/>
        <v>0.8</v>
      </c>
      <c r="AG46" s="2205">
        <f t="shared" si="10"/>
        <v>0.8</v>
      </c>
      <c r="AH46" s="2205">
        <f t="shared" si="10"/>
        <v>0.8</v>
      </c>
      <c r="AI46" s="2205">
        <f t="shared" si="10"/>
        <v>0.8</v>
      </c>
    </row>
  </sheetData>
  <mergeCells count="20">
    <mergeCell ref="B19:B21"/>
    <mergeCell ref="B23:B28"/>
    <mergeCell ref="A2:C2"/>
    <mergeCell ref="D2:AI4"/>
    <mergeCell ref="A3:C4"/>
    <mergeCell ref="A7:A21"/>
    <mergeCell ref="B7:B11"/>
    <mergeCell ref="B12:B18"/>
    <mergeCell ref="A23:A38"/>
    <mergeCell ref="B36:B37"/>
    <mergeCell ref="B44:C44"/>
    <mergeCell ref="B45:C45"/>
    <mergeCell ref="B29:B32"/>
    <mergeCell ref="B33:B35"/>
    <mergeCell ref="A40:A46"/>
    <mergeCell ref="B40:C40"/>
    <mergeCell ref="B41:C41"/>
    <mergeCell ref="B42:C42"/>
    <mergeCell ref="B43:C43"/>
    <mergeCell ref="B46:C46"/>
  </mergeCells>
  <conditionalFormatting sqref="A3 B29">
    <cfRule type="containsText" dxfId="0" priority="1" operator="containsText" text="voor">
      <formula>NOT(ISERROR(SEARCH(("voor"),(A3))))</formula>
    </cfRule>
  </conditionalFormatting>
  <conditionalFormatting sqref="A3 B29">
    <cfRule type="containsText" dxfId="1" priority="2" operator="containsText" text="tegen">
      <formula>NOT(ISERROR(SEARCH(("tegen"),(A3))))</formula>
    </cfRule>
  </conditionalFormatting>
  <conditionalFormatting sqref="D7:G38 H7:H21 I7:J38 K7:K21 L7:AA38 AB7:AB21 AC7:AI38 C23:C37 H23:H38 K23:K38 AB23:AB38 B24:B32 B37">
    <cfRule type="containsText" dxfId="2" priority="3" operator="containsText" text="SO">
      <formula>NOT(ISERROR(SEARCH(("SO"),(D7))))</formula>
    </cfRule>
  </conditionalFormatting>
  <conditionalFormatting sqref="A3 D7:G38 H7:H21 I7:J38 K7:K21 L7:AA38 AB7:AB21 AC7:AI38 C23:C37 H23:H38 K23:K38 AB23:AB38 B24:B32 B37">
    <cfRule type="containsText" dxfId="3" priority="4" operator="containsText" text="tegen">
      <formula>NOT(ISERROR(SEARCH(("tegen"),(A3))))</formula>
    </cfRule>
  </conditionalFormatting>
  <conditionalFormatting sqref="D7:G38 H7:H21 I7:J38 K7:K21 L7:AA38 AB7:AB21 AC7:AI38 C23:C37 H23:H38 K23:K38 AB23:AB38 B24:B32 B37">
    <cfRule type="containsText" dxfId="4" priority="5" operator="containsText" text="voor">
      <formula>NOT(ISERROR(SEARCH(("voor"),(D7))))</formula>
    </cfRule>
  </conditionalFormatting>
  <conditionalFormatting sqref="D7:G38 H7:H21 I7:J38 K7:K21 L7:AA38 AB7:AB21 AC7:AI38 C23:C37 H23:H38 K23:K38 AB23:AB38 B24:B32 B37">
    <cfRule type="cellIs" dxfId="5" priority="6" operator="equal">
      <formula>"NG"</formula>
    </cfRule>
  </conditionalFormatting>
  <conditionalFormatting sqref="D7:G38 H7:H21 I7:J38 K7:K21 L7:AA38 AB7:AB21 AC7:AI38 C23:C37 H23:H38 K23:K38 AB23:AB38 B24:B32 B37">
    <cfRule type="containsText" dxfId="6" priority="7" operator="containsText" text="NVT">
      <formula>NOT(ISERROR(SEARCH(("NVT"),(D7))))</formula>
    </cfRule>
  </conditionalFormatting>
  <hyperlinks>
    <hyperlink r:id="rId1" ref="T22"/>
    <hyperlink r:id="rId2" ref="U22"/>
    <hyperlink r:id="rId3" ref="V22"/>
    <hyperlink r:id="rId4" ref="W22"/>
    <hyperlink r:id="rId5" ref="X22"/>
    <hyperlink r:id="rId6" ref="Y22"/>
    <hyperlink r:id="rId7" ref="Z22"/>
    <hyperlink r:id="rId8" ref="AA22"/>
    <hyperlink r:id="rId9" ref="AB22"/>
    <hyperlink r:id="rId10" ref="AC22"/>
  </hyperlinks>
  <drawing r:id="rId11"/>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CC4125"/>
    <outlinePr summaryBelow="0" summaryRight="0"/>
  </sheetPr>
  <sheetViews>
    <sheetView workbookViewId="0">
      <pane xSplit="3.0" topLeftCell="D1" activePane="topRight" state="frozen"/>
      <selection activeCell="E2" sqref="E2" pane="topRight"/>
    </sheetView>
  </sheetViews>
  <sheetFormatPr customHeight="1" defaultColWidth="14.43" defaultRowHeight="15.75"/>
  <cols>
    <col customWidth="1" min="1" max="1" width="10.86"/>
    <col customWidth="1" min="2" max="2" width="11.0"/>
    <col customWidth="1" min="3" max="3" width="21.86"/>
  </cols>
  <sheetData>
    <row r="1" ht="18.75" customHeight="1">
      <c r="A1" s="2353" t="s">
        <v>1817</v>
      </c>
      <c r="B1" s="2354"/>
      <c r="C1" s="2354"/>
      <c r="D1" s="2354"/>
      <c r="E1" s="2354"/>
      <c r="F1" s="2354"/>
      <c r="G1" s="2354"/>
      <c r="H1" s="2354"/>
      <c r="I1" s="2354"/>
      <c r="J1" s="2354"/>
      <c r="K1" s="2354"/>
      <c r="L1" s="2354"/>
      <c r="M1" s="2354"/>
      <c r="N1" s="2354"/>
      <c r="O1" s="2354"/>
      <c r="P1" s="2355"/>
      <c r="Q1" s="2355"/>
      <c r="R1" s="2355"/>
    </row>
    <row r="2" ht="18.75" customHeight="1">
      <c r="A2" s="2356"/>
      <c r="B2" s="2357"/>
      <c r="C2" s="2358"/>
      <c r="D2" s="2359" t="s">
        <v>1818</v>
      </c>
      <c r="E2" s="16"/>
      <c r="F2" s="16"/>
      <c r="G2" s="16"/>
      <c r="H2" s="16"/>
      <c r="I2" s="16"/>
      <c r="J2" s="16"/>
      <c r="K2" s="16"/>
      <c r="L2" s="16"/>
      <c r="M2" s="16"/>
      <c r="N2" s="16"/>
      <c r="O2" s="16"/>
      <c r="P2" s="16"/>
      <c r="Q2" s="16"/>
      <c r="R2" s="17"/>
    </row>
    <row r="3" ht="18.75" customHeight="1">
      <c r="A3" s="2354"/>
      <c r="B3" s="2354"/>
      <c r="C3" s="2354"/>
      <c r="D3" s="2360"/>
      <c r="E3" s="2360"/>
      <c r="F3" s="2360"/>
      <c r="G3" s="2354"/>
      <c r="H3" s="2354"/>
      <c r="I3" s="2354"/>
      <c r="J3" s="2354"/>
      <c r="K3" s="2354"/>
      <c r="L3" s="2354"/>
      <c r="M3" s="2354"/>
      <c r="N3" s="2354"/>
      <c r="O3" s="2354"/>
      <c r="P3" s="2354"/>
      <c r="Q3" s="2354"/>
      <c r="R3" s="2354"/>
    </row>
    <row r="4" ht="18.75" customHeight="1">
      <c r="A4" s="2356" t="s">
        <v>1031</v>
      </c>
      <c r="B4" s="2357"/>
      <c r="C4" s="2358"/>
      <c r="D4" s="2361" t="s">
        <v>127</v>
      </c>
      <c r="E4" s="124"/>
      <c r="F4" s="124"/>
      <c r="G4" s="124"/>
      <c r="H4" s="124"/>
      <c r="I4" s="124"/>
      <c r="J4" s="124"/>
      <c r="K4" s="124"/>
      <c r="L4" s="124"/>
      <c r="M4" s="124"/>
      <c r="N4" s="124"/>
      <c r="O4" s="124"/>
      <c r="P4" s="124"/>
      <c r="Q4" s="124"/>
      <c r="R4" s="2362"/>
    </row>
    <row r="5" ht="18.75" customHeight="1">
      <c r="A5" s="2342" t="s">
        <v>1803</v>
      </c>
      <c r="C5" s="135"/>
      <c r="D5" s="43"/>
      <c r="R5" s="885"/>
    </row>
    <row r="6" ht="18.75" customHeight="1">
      <c r="C6" s="135"/>
      <c r="D6" s="2363"/>
      <c r="E6" s="1396"/>
      <c r="F6" s="1396"/>
      <c r="G6" s="1396"/>
      <c r="H6" s="1396"/>
      <c r="I6" s="1396"/>
      <c r="J6" s="1396"/>
      <c r="K6" s="1396"/>
      <c r="L6" s="1396"/>
      <c r="M6" s="1396"/>
      <c r="N6" s="1396"/>
      <c r="O6" s="1396"/>
      <c r="P6" s="1396"/>
      <c r="Q6" s="1396"/>
      <c r="R6" s="1397"/>
    </row>
    <row r="7" ht="18.75" customHeight="1">
      <c r="A7" s="2364" t="s">
        <v>86</v>
      </c>
      <c r="B7" s="2365" t="s">
        <v>87</v>
      </c>
      <c r="C7" s="2366" t="s">
        <v>88</v>
      </c>
      <c r="D7" s="2367" t="str">
        <f>HYPERLINK("https://www.reddit.com/r/RMTK/comments/d6jji7/w0040_wet_register_openbare_hygi%C3%ABne_en/","W0040")</f>
        <v>W0040</v>
      </c>
      <c r="E7" s="2367" t="str">
        <f>HYPERLINK("https://www.reddit.com/r/RMTK/comments/d2a3yu/w0039_wetsvoorstel_versoepeling_opiumwet/","W0039")</f>
        <v>W0039</v>
      </c>
      <c r="F7" s="2002" t="str">
        <f>HYPERLINK("https://www.reddit.com/r/RMTK/comments/d9pe1o/w0043_wijziging_wetboek_van_strafrecht_artikel_23/","W0043")</f>
        <v>W0043</v>
      </c>
      <c r="G7" s="2002" t="str">
        <f>HYPERLINK("https://www.reddit.com/r/RMTK/comments/dqygsj/w0041_belastingwet_meervoudig_woningbezig/","W0041")</f>
        <v>W0041</v>
      </c>
      <c r="H7" s="2002" t="str">
        <f>HYPERLINK("https://www.reddit.com/r/RMTK/comments/d93cgv/w0042_wet_tot_goedkeuring_aankoop_vijf_f35a_2019/","W0042")</f>
        <v>W0042</v>
      </c>
      <c r="I7" s="2002" t="str">
        <f>HYPERLINK("https://www.reddit.com/r/RMTK/comments/dkz3ba/w0043_intrekkingswet_accijnswet/","W0044")</f>
        <v>W0044</v>
      </c>
      <c r="J7" s="2002" t="str">
        <f>HYPERLINK("https://www.reddit.com/r/RMTK/comments/dm1lyl/w0044_noodwet_stikfstofverbindingsproblematiek/","W0045")</f>
        <v>W0045</v>
      </c>
      <c r="K7" s="2002" t="str">
        <f>HYPERLINK("https://www.reddit.com/r/RMTK/comments/ds2nrf/w0046_rijksbegroting_2020_buitenlandse_zaken/","W0046")</f>
        <v>W0046</v>
      </c>
      <c r="L7" s="2002" t="str">
        <f>HYPERLINK("https://www.reddit.com/r/RMTK/comments/ds2nu7/w0047_rijksbegroting_2020_defensie_en/","W0047")</f>
        <v>W0047</v>
      </c>
      <c r="M7" s="2002" t="str">
        <f>hyperlink("https://www.reddit.com/r/RMTK/comments/dvhfjp/w0049_wetswijziging_tot_toestaan_polyamorisch/","W0049")</f>
        <v>W0049</v>
      </c>
      <c r="N7" s="2002" t="str">
        <f>hyperlink("https://www.reddit.com/r/RMTK/comments/dvxgay/w0050_intrekkingswetsvoorstel_wetswijzing/","W0050")</f>
        <v>W0050</v>
      </c>
      <c r="O7" s="2368"/>
      <c r="P7" s="2368"/>
      <c r="Q7" s="2368"/>
      <c r="R7" s="2368"/>
    </row>
    <row r="8" ht="6.0" customHeight="1">
      <c r="A8" s="2369"/>
      <c r="B8" s="2370"/>
      <c r="C8" s="2370"/>
      <c r="D8" s="145"/>
      <c r="E8" s="2369"/>
      <c r="F8" s="2369"/>
      <c r="G8" s="2018"/>
      <c r="H8" s="145"/>
      <c r="I8" s="145"/>
      <c r="J8" s="145"/>
      <c r="K8" s="2369"/>
      <c r="L8" s="2369"/>
      <c r="M8" s="2018"/>
      <c r="N8" s="2212"/>
      <c r="O8" s="2018"/>
      <c r="P8" s="2018"/>
      <c r="Q8" s="2018"/>
      <c r="R8" s="2018"/>
    </row>
    <row r="9" ht="18.75" customHeight="1">
      <c r="A9" s="249" t="s">
        <v>1735</v>
      </c>
      <c r="B9" s="2371" t="s">
        <v>375</v>
      </c>
      <c r="C9" s="2372" t="s">
        <v>206</v>
      </c>
      <c r="D9" s="252" t="s">
        <v>91</v>
      </c>
      <c r="E9" s="2373" t="s">
        <v>91</v>
      </c>
      <c r="F9" s="2374" t="s">
        <v>92</v>
      </c>
      <c r="G9" s="252" t="s">
        <v>91</v>
      </c>
      <c r="H9" s="252" t="s">
        <v>91</v>
      </c>
      <c r="I9" s="252" t="s">
        <v>92</v>
      </c>
      <c r="J9" s="402" t="s">
        <v>91</v>
      </c>
      <c r="K9" s="2375" t="s">
        <v>91</v>
      </c>
      <c r="L9" s="2374" t="s">
        <v>91</v>
      </c>
      <c r="M9" s="252" t="s">
        <v>91</v>
      </c>
      <c r="N9" s="2374" t="s">
        <v>91</v>
      </c>
      <c r="O9" s="402" t="s">
        <v>93</v>
      </c>
      <c r="P9" s="402" t="s">
        <v>93</v>
      </c>
      <c r="Q9" s="402" t="s">
        <v>93</v>
      </c>
      <c r="R9" s="402" t="s">
        <v>93</v>
      </c>
    </row>
    <row r="10" ht="18.75" customHeight="1">
      <c r="A10" s="158"/>
      <c r="B10" s="2376" t="s">
        <v>320</v>
      </c>
      <c r="C10" s="2377" t="s">
        <v>1352</v>
      </c>
      <c r="D10" s="252" t="s">
        <v>91</v>
      </c>
      <c r="E10" s="561" t="s">
        <v>91</v>
      </c>
      <c r="F10" s="402" t="s">
        <v>92</v>
      </c>
      <c r="G10" s="252" t="s">
        <v>93</v>
      </c>
      <c r="H10" s="252" t="s">
        <v>93</v>
      </c>
      <c r="I10" s="252" t="s">
        <v>93</v>
      </c>
      <c r="J10" s="402" t="s">
        <v>93</v>
      </c>
      <c r="K10" s="252" t="s">
        <v>91</v>
      </c>
      <c r="L10" s="402" t="s">
        <v>91</v>
      </c>
      <c r="M10" s="252" t="s">
        <v>93</v>
      </c>
      <c r="N10" s="402" t="s">
        <v>93</v>
      </c>
      <c r="O10" s="402" t="s">
        <v>93</v>
      </c>
      <c r="P10" s="402" t="s">
        <v>93</v>
      </c>
      <c r="Q10" s="402" t="s">
        <v>93</v>
      </c>
      <c r="R10" s="402" t="s">
        <v>93</v>
      </c>
    </row>
    <row r="11" ht="18.75" customHeight="1">
      <c r="A11" s="168"/>
      <c r="B11" s="2378" t="s">
        <v>214</v>
      </c>
      <c r="C11" s="2379" t="s">
        <v>162</v>
      </c>
      <c r="D11" s="252" t="s">
        <v>91</v>
      </c>
      <c r="E11" s="561" t="s">
        <v>91</v>
      </c>
      <c r="F11" s="402" t="s">
        <v>92</v>
      </c>
      <c r="G11" s="252" t="s">
        <v>92</v>
      </c>
      <c r="H11" s="252" t="s">
        <v>91</v>
      </c>
      <c r="I11" s="252" t="s">
        <v>92</v>
      </c>
      <c r="J11" s="402" t="s">
        <v>91</v>
      </c>
      <c r="K11" s="252" t="s">
        <v>91</v>
      </c>
      <c r="L11" s="402" t="s">
        <v>91</v>
      </c>
      <c r="M11" s="252" t="s">
        <v>91</v>
      </c>
      <c r="N11" s="402" t="s">
        <v>91</v>
      </c>
      <c r="O11" s="402" t="s">
        <v>93</v>
      </c>
      <c r="P11" s="402" t="s">
        <v>93</v>
      </c>
      <c r="Q11" s="402" t="s">
        <v>93</v>
      </c>
      <c r="R11" s="402" t="s">
        <v>93</v>
      </c>
    </row>
    <row r="12" ht="7.5" customHeight="1">
      <c r="A12" s="2380"/>
      <c r="B12" s="2381"/>
      <c r="C12" s="2382"/>
      <c r="D12" s="2383" t="str">
        <f t="shared" ref="D12:R12" si="1">LINKURL(D7)</f>
        <v>https://www.reddit.com/r/RMTK/comments/d6jji7/w0040_wet_register_openbare_hygi%C3%ABne_en/</v>
      </c>
      <c r="E12" s="2384" t="str">
        <f t="shared" si="1"/>
        <v>https://www.reddit.com/r/RMTK/comments/d2a3yu/w0039_wetsvoorstel_versoepeling_opiumwet/</v>
      </c>
      <c r="F12" s="2385" t="str">
        <f t="shared" si="1"/>
        <v>https://www.reddit.com/r/RMTK/comments/d9pe1o/w0043_wijziging_wetboek_van_strafrecht_artikel_23/</v>
      </c>
      <c r="G12" s="2386" t="str">
        <f t="shared" si="1"/>
        <v>https://www.reddit.com/r/RMTK/comments/dqygsj/w0041_belastingwet_meervoudig_woningbezig/</v>
      </c>
      <c r="H12" s="2386" t="str">
        <f t="shared" si="1"/>
        <v>https://www.reddit.com/r/RMTK/comments/d93cgv/w0042_wet_tot_goedkeuring_aankoop_vijf_f35a_2019/</v>
      </c>
      <c r="I12" s="2386" t="str">
        <f t="shared" si="1"/>
        <v>https://www.reddit.com/r/RMTK/comments/dkz3ba/w0043_intrekkingswet_accijnswet/</v>
      </c>
      <c r="J12" s="2387" t="str">
        <f t="shared" si="1"/>
        <v>https://www.reddit.com/r/RMTK/comments/dm1lyl/w0044_noodwet_stikfstofverbindingsproblematiek/</v>
      </c>
      <c r="K12" s="2386" t="str">
        <f t="shared" si="1"/>
        <v>https://www.reddit.com/r/RMTK/comments/ds2nrf/w0046_rijksbegroting_2020_buitenlandse_zaken/</v>
      </c>
      <c r="L12" s="2388" t="str">
        <f t="shared" si="1"/>
        <v>https://www.reddit.com/r/RMTK/comments/ds2nu7/w0047_rijksbegroting_2020_defensie_en/</v>
      </c>
      <c r="M12" s="2389" t="str">
        <f t="shared" si="1"/>
        <v>https://www.reddit.com/r/RMTK/comments/dvhfjp/w0049_wetswijziging_tot_toestaan_polyamorisch/</v>
      </c>
      <c r="N12" s="2390" t="str">
        <f t="shared" si="1"/>
        <v>https://www.reddit.com/r/RMTK/comments/dvxgay/w0050_intrekkingswetsvoorstel_wetswijzing/</v>
      </c>
      <c r="O12" s="2391" t="str">
        <f t="shared" si="1"/>
        <v/>
      </c>
      <c r="P12" s="2391" t="str">
        <f t="shared" si="1"/>
        <v/>
      </c>
      <c r="Q12" s="2391" t="str">
        <f t="shared" si="1"/>
        <v/>
      </c>
      <c r="R12" s="2391" t="str">
        <f t="shared" si="1"/>
        <v/>
      </c>
    </row>
    <row r="13" ht="18.75" customHeight="1">
      <c r="A13" s="249" t="s">
        <v>1819</v>
      </c>
      <c r="B13" s="2392" t="s">
        <v>36</v>
      </c>
      <c r="C13" s="2393" t="s">
        <v>674</v>
      </c>
      <c r="D13" s="252" t="s">
        <v>92</v>
      </c>
      <c r="E13" s="561" t="s">
        <v>92</v>
      </c>
      <c r="F13" s="402" t="s">
        <v>92</v>
      </c>
      <c r="G13" s="252" t="s">
        <v>92</v>
      </c>
      <c r="H13" s="252" t="s">
        <v>91</v>
      </c>
      <c r="I13" s="252" t="s">
        <v>91</v>
      </c>
      <c r="J13" s="402" t="s">
        <v>117</v>
      </c>
      <c r="K13" s="252" t="s">
        <v>92</v>
      </c>
      <c r="L13" s="402" t="s">
        <v>91</v>
      </c>
      <c r="M13" s="252" t="s">
        <v>92</v>
      </c>
      <c r="N13" s="2394" t="s">
        <v>91</v>
      </c>
      <c r="O13" s="402" t="s">
        <v>93</v>
      </c>
      <c r="P13" s="402" t="s">
        <v>93</v>
      </c>
      <c r="Q13" s="402" t="s">
        <v>93</v>
      </c>
      <c r="R13" s="402" t="s">
        <v>93</v>
      </c>
    </row>
    <row r="14" ht="18.75" customHeight="1">
      <c r="A14" s="158"/>
      <c r="B14" s="180" t="s">
        <v>31</v>
      </c>
      <c r="C14" s="2266" t="s">
        <v>1381</v>
      </c>
      <c r="D14" s="252" t="s">
        <v>91</v>
      </c>
      <c r="E14" s="561" t="s">
        <v>118</v>
      </c>
      <c r="F14" s="402" t="s">
        <v>118</v>
      </c>
      <c r="G14" s="252" t="s">
        <v>118</v>
      </c>
      <c r="H14" s="252" t="s">
        <v>118</v>
      </c>
      <c r="I14" s="252" t="s">
        <v>118</v>
      </c>
      <c r="J14" s="402" t="s">
        <v>118</v>
      </c>
      <c r="K14" s="252" t="s">
        <v>118</v>
      </c>
      <c r="L14" s="402" t="s">
        <v>118</v>
      </c>
      <c r="M14" s="252" t="s">
        <v>118</v>
      </c>
      <c r="N14" s="402" t="s">
        <v>118</v>
      </c>
      <c r="O14" s="402" t="s">
        <v>118</v>
      </c>
      <c r="P14" s="402" t="s">
        <v>118</v>
      </c>
      <c r="Q14" s="402" t="s">
        <v>118</v>
      </c>
      <c r="R14" s="402" t="s">
        <v>118</v>
      </c>
    </row>
    <row r="15" ht="18.75" customHeight="1">
      <c r="A15" s="158"/>
      <c r="B15" s="135"/>
      <c r="C15" s="2269" t="s">
        <v>1737</v>
      </c>
      <c r="D15" s="252" t="s">
        <v>118</v>
      </c>
      <c r="E15" s="561" t="s">
        <v>91</v>
      </c>
      <c r="F15" s="402" t="s">
        <v>91</v>
      </c>
      <c r="G15" s="252" t="s">
        <v>91</v>
      </c>
      <c r="H15" s="252" t="s">
        <v>91</v>
      </c>
      <c r="I15" s="252" t="s">
        <v>92</v>
      </c>
      <c r="J15" s="402" t="s">
        <v>91</v>
      </c>
      <c r="K15" s="252" t="s">
        <v>91</v>
      </c>
      <c r="L15" s="402" t="s">
        <v>91</v>
      </c>
      <c r="M15" s="252" t="s">
        <v>91</v>
      </c>
      <c r="N15" s="402" t="s">
        <v>92</v>
      </c>
      <c r="O15" s="402" t="s">
        <v>93</v>
      </c>
      <c r="P15" s="402" t="s">
        <v>93</v>
      </c>
      <c r="Q15" s="402" t="s">
        <v>93</v>
      </c>
      <c r="R15" s="402" t="s">
        <v>93</v>
      </c>
    </row>
    <row r="16" ht="18.75" customHeight="1">
      <c r="A16" s="158"/>
      <c r="B16" s="2240" t="s">
        <v>255</v>
      </c>
      <c r="C16" s="2395" t="s">
        <v>48</v>
      </c>
      <c r="D16" s="252" t="s">
        <v>92</v>
      </c>
      <c r="E16" s="561" t="s">
        <v>118</v>
      </c>
      <c r="F16" s="402" t="s">
        <v>118</v>
      </c>
      <c r="G16" s="252" t="s">
        <v>118</v>
      </c>
      <c r="H16" s="252" t="s">
        <v>118</v>
      </c>
      <c r="I16" s="252" t="s">
        <v>118</v>
      </c>
      <c r="J16" s="402" t="s">
        <v>118</v>
      </c>
      <c r="K16" s="252" t="s">
        <v>118</v>
      </c>
      <c r="L16" s="402" t="s">
        <v>118</v>
      </c>
      <c r="M16" s="252" t="s">
        <v>118</v>
      </c>
      <c r="N16" s="402" t="s">
        <v>118</v>
      </c>
      <c r="O16" s="402" t="s">
        <v>118</v>
      </c>
      <c r="P16" s="402" t="s">
        <v>118</v>
      </c>
      <c r="Q16" s="402" t="s">
        <v>118</v>
      </c>
      <c r="R16" s="402" t="s">
        <v>118</v>
      </c>
    </row>
    <row r="17" ht="18.75" customHeight="1">
      <c r="A17" s="158"/>
      <c r="B17" s="135"/>
      <c r="C17" s="2396" t="s">
        <v>235</v>
      </c>
      <c r="D17" s="252" t="s">
        <v>118</v>
      </c>
      <c r="E17" s="561" t="s">
        <v>93</v>
      </c>
      <c r="F17" s="402" t="s">
        <v>93</v>
      </c>
      <c r="G17" s="252" t="s">
        <v>93</v>
      </c>
      <c r="H17" s="252" t="s">
        <v>93</v>
      </c>
      <c r="I17" s="252" t="s">
        <v>93</v>
      </c>
      <c r="J17" s="402" t="s">
        <v>93</v>
      </c>
      <c r="K17" s="252" t="s">
        <v>93</v>
      </c>
      <c r="L17" s="402" t="s">
        <v>93</v>
      </c>
      <c r="M17" s="252" t="s">
        <v>92</v>
      </c>
      <c r="N17" s="402" t="s">
        <v>91</v>
      </c>
      <c r="O17" s="402" t="s">
        <v>93</v>
      </c>
      <c r="P17" s="402" t="s">
        <v>93</v>
      </c>
      <c r="Q17" s="402" t="s">
        <v>93</v>
      </c>
      <c r="R17" s="402" t="s">
        <v>93</v>
      </c>
    </row>
    <row r="18" ht="18.75" customHeight="1">
      <c r="A18" s="168"/>
      <c r="B18" s="2397" t="s">
        <v>333</v>
      </c>
      <c r="C18" s="260" t="s">
        <v>108</v>
      </c>
      <c r="D18" s="252" t="s">
        <v>91</v>
      </c>
      <c r="E18" s="2398" t="s">
        <v>91</v>
      </c>
      <c r="F18" s="2399" t="s">
        <v>91</v>
      </c>
      <c r="G18" s="252" t="s">
        <v>91</v>
      </c>
      <c r="H18" s="252" t="s">
        <v>92</v>
      </c>
      <c r="I18" s="252" t="s">
        <v>91</v>
      </c>
      <c r="J18" s="402" t="s">
        <v>91</v>
      </c>
      <c r="K18" s="670" t="s">
        <v>91</v>
      </c>
      <c r="L18" s="2399" t="s">
        <v>91</v>
      </c>
      <c r="M18" s="252" t="s">
        <v>91</v>
      </c>
      <c r="N18" s="2399" t="s">
        <v>92</v>
      </c>
      <c r="O18" s="402" t="s">
        <v>93</v>
      </c>
      <c r="P18" s="402" t="s">
        <v>93</v>
      </c>
      <c r="Q18" s="402" t="s">
        <v>93</v>
      </c>
      <c r="R18" s="402" t="s">
        <v>93</v>
      </c>
    </row>
    <row r="19" ht="12.0" customHeight="1">
      <c r="A19" s="2400"/>
      <c r="B19" s="2401"/>
      <c r="C19" s="2402"/>
      <c r="D19" s="2403" t="str">
        <f t="shared" ref="D19:R19" si="2">CONCATENATE("{""status"": ", IF(GT(D20, D21), """aangenomen""", """verworpen"""), ", ""title"": """, D7, """, ""url"": """,D12  , """, ""voor"":", D20,", ""tegen"": ", D21, ", ""onthouden"":", D22, "}")</f>
        <v>{"status": "aangenomen", "title": "W0040", "url": "https://www.reddit.com/r/RMTK/comments/d6jji7/w0040_wet_register_openbare_hygi%C3%ABne_en/", "voor":5, "tegen": 2, "onthouden":0}</v>
      </c>
      <c r="E19" s="2404" t="str">
        <f t="shared" si="2"/>
        <v>{"status": "aangenomen", "title": "W0039", "url": "https://www.reddit.com/r/RMTK/comments/d2a3yu/w0039_wetsvoorstel_versoepeling_opiumwet/", "voor":5, "tegen": 1, "onthouden":0}</v>
      </c>
      <c r="F19" s="2404" t="str">
        <f t="shared" si="2"/>
        <v>{"status": "verworpen", "title": "W0043", "url": "https://www.reddit.com/r/RMTK/comments/d9pe1o/w0043_wijziging_wetboek_van_strafrecht_artikel_23/", "voor":2, "tegen": 4, "onthouden":0}</v>
      </c>
      <c r="G19" s="2403" t="str">
        <f t="shared" si="2"/>
        <v>{"status": "aangenomen", "title": "W0041", "url": "https://www.reddit.com/r/RMTK/comments/dqygsj/w0041_belastingwet_meervoudig_woningbezig/", "voor":3, "tegen": 2, "onthouden":0}</v>
      </c>
      <c r="H19" s="2405" t="str">
        <f t="shared" si="2"/>
        <v>{"status": "aangenomen", "title": "W0042", "url": "https://www.reddit.com/r/RMTK/comments/d93cgv/w0042_wet_tot_goedkeuring_aankoop_vijf_f35a_2019/", "voor":4, "tegen": 1, "onthouden":0}</v>
      </c>
      <c r="I19" s="2405" t="str">
        <f t="shared" si="2"/>
        <v>{"status": "verworpen", "title": "W0044", "url": "https://www.reddit.com/r/RMTK/comments/dkz3ba/w0043_intrekkingswet_accijnswet/", "voor":2, "tegen": 3, "onthouden":0}</v>
      </c>
      <c r="J19" s="2405" t="str">
        <f t="shared" si="2"/>
        <v>{"status": "aangenomen", "title": "W0045", "url": "https://www.reddit.com/r/RMTK/comments/dm1lyl/w0044_noodwet_stikfstofverbindingsproblematiek/", "voor":4, "tegen": 0, "onthouden":1}</v>
      </c>
      <c r="K19" s="2406" t="str">
        <f t="shared" si="2"/>
        <v>{"status": "aangenomen", "title": "W0046", "url": "https://www.reddit.com/r/RMTK/comments/ds2nrf/w0046_rijksbegroting_2020_buitenlandse_zaken/", "voor":5, "tegen": 1, "onthouden":0}</v>
      </c>
      <c r="L19" s="2406" t="str">
        <f t="shared" si="2"/>
        <v>{"status": "aangenomen", "title": "W0047", "url": "https://www.reddit.com/r/RMTK/comments/ds2nu7/w0047_rijksbegroting_2020_defensie_en/", "voor":6, "tegen": 0, "onthouden":0}</v>
      </c>
      <c r="M19" s="2405" t="str">
        <f t="shared" si="2"/>
        <v>{"status": "aangenomen", "title": "W0049", "url": "https://www.reddit.com/r/RMTK/comments/dvhfjp/w0049_wetswijziging_tot_toestaan_polyamorisch/", "voor":4, "tegen": 2, "onthouden":0}</v>
      </c>
      <c r="N19" s="2406" t="str">
        <f t="shared" si="2"/>
        <v>{"status": "aangenomen", "title": "W0050", "url": "https://www.reddit.com/r/RMTK/comments/dvxgay/w0050_intrekkingswetsvoorstel_wetswijzing/", "voor":4, "tegen": 2, "onthouden":0}</v>
      </c>
      <c r="O19" s="2405" t="str">
        <f t="shared" si="2"/>
        <v>{"status": "verworpen", "title": "", "url": "", "voor":0, "tegen": 0, "onthouden":0}</v>
      </c>
      <c r="P19" s="2405" t="str">
        <f t="shared" si="2"/>
        <v>{"status": "verworpen", "title": "", "url": "", "voor":0, "tegen": 0, "onthouden":0}</v>
      </c>
      <c r="Q19" s="2405" t="str">
        <f t="shared" si="2"/>
        <v>{"status": "verworpen", "title": "", "url": "", "voor":0, "tegen": 0, "onthouden":0}</v>
      </c>
      <c r="R19" s="2405" t="str">
        <f t="shared" si="2"/>
        <v>{"status": "verworpen", "title": "", "url": "", "voor":0, "tegen": 0, "onthouden":0}</v>
      </c>
    </row>
    <row r="20" ht="18.75" customHeight="1">
      <c r="A20" s="2407" t="s">
        <v>119</v>
      </c>
      <c r="B20" s="2408" t="s">
        <v>91</v>
      </c>
      <c r="D20" s="2409">
        <f t="shared" ref="D20:R20" si="3">COUNTIF(D6:D18,"Voor")</f>
        <v>5</v>
      </c>
      <c r="E20" s="2409">
        <f t="shared" si="3"/>
        <v>5</v>
      </c>
      <c r="F20" s="2409">
        <f t="shared" si="3"/>
        <v>2</v>
      </c>
      <c r="G20" s="2409">
        <f t="shared" si="3"/>
        <v>3</v>
      </c>
      <c r="H20" s="2409">
        <f t="shared" si="3"/>
        <v>4</v>
      </c>
      <c r="I20" s="2409">
        <f t="shared" si="3"/>
        <v>2</v>
      </c>
      <c r="J20" s="2409">
        <f t="shared" si="3"/>
        <v>4</v>
      </c>
      <c r="K20" s="2409">
        <f t="shared" si="3"/>
        <v>5</v>
      </c>
      <c r="L20" s="2409">
        <f t="shared" si="3"/>
        <v>6</v>
      </c>
      <c r="M20" s="2409">
        <f t="shared" si="3"/>
        <v>4</v>
      </c>
      <c r="N20" s="2409">
        <f t="shared" si="3"/>
        <v>4</v>
      </c>
      <c r="O20" s="2409">
        <f t="shared" si="3"/>
        <v>0</v>
      </c>
      <c r="P20" s="2409">
        <f t="shared" si="3"/>
        <v>0</v>
      </c>
      <c r="Q20" s="2409">
        <f t="shared" si="3"/>
        <v>0</v>
      </c>
      <c r="R20" s="2409">
        <f t="shared" si="3"/>
        <v>0</v>
      </c>
    </row>
    <row r="21" ht="18.75" customHeight="1">
      <c r="B21" s="2410" t="s">
        <v>92</v>
      </c>
      <c r="D21" s="2411">
        <f t="shared" ref="D21:R21" si="4">COUNTIF(D6:D18,"Tegen")</f>
        <v>2</v>
      </c>
      <c r="E21" s="2411">
        <f t="shared" si="4"/>
        <v>1</v>
      </c>
      <c r="F21" s="2411">
        <f t="shared" si="4"/>
        <v>4</v>
      </c>
      <c r="G21" s="2411">
        <f t="shared" si="4"/>
        <v>2</v>
      </c>
      <c r="H21" s="2411">
        <f t="shared" si="4"/>
        <v>1</v>
      </c>
      <c r="I21" s="2411">
        <f t="shared" si="4"/>
        <v>3</v>
      </c>
      <c r="J21" s="2411">
        <f t="shared" si="4"/>
        <v>0</v>
      </c>
      <c r="K21" s="2411">
        <f t="shared" si="4"/>
        <v>1</v>
      </c>
      <c r="L21" s="2411">
        <f t="shared" si="4"/>
        <v>0</v>
      </c>
      <c r="M21" s="2411">
        <f t="shared" si="4"/>
        <v>2</v>
      </c>
      <c r="N21" s="2411">
        <f t="shared" si="4"/>
        <v>2</v>
      </c>
      <c r="O21" s="2411">
        <f t="shared" si="4"/>
        <v>0</v>
      </c>
      <c r="P21" s="2411">
        <f t="shared" si="4"/>
        <v>0</v>
      </c>
      <c r="Q21" s="2411">
        <f t="shared" si="4"/>
        <v>0</v>
      </c>
      <c r="R21" s="2411">
        <f t="shared" si="4"/>
        <v>0</v>
      </c>
    </row>
    <row r="22" ht="18.75" customHeight="1">
      <c r="B22" s="2412" t="s">
        <v>120</v>
      </c>
      <c r="D22" s="2413">
        <f t="shared" ref="D22:R22" si="5">COUNTIF(D6:D18,"SO")</f>
        <v>0</v>
      </c>
      <c r="E22" s="2413">
        <f t="shared" si="5"/>
        <v>0</v>
      </c>
      <c r="F22" s="2413">
        <f t="shared" si="5"/>
        <v>0</v>
      </c>
      <c r="G22" s="2413">
        <f t="shared" si="5"/>
        <v>0</v>
      </c>
      <c r="H22" s="2413">
        <f t="shared" si="5"/>
        <v>0</v>
      </c>
      <c r="I22" s="2413">
        <f t="shared" si="5"/>
        <v>0</v>
      </c>
      <c r="J22" s="2413">
        <f t="shared" si="5"/>
        <v>1</v>
      </c>
      <c r="K22" s="2413">
        <f t="shared" si="5"/>
        <v>0</v>
      </c>
      <c r="L22" s="2413">
        <f t="shared" si="5"/>
        <v>0</v>
      </c>
      <c r="M22" s="2413">
        <f t="shared" si="5"/>
        <v>0</v>
      </c>
      <c r="N22" s="2413">
        <f t="shared" si="5"/>
        <v>0</v>
      </c>
      <c r="O22" s="2413">
        <f t="shared" si="5"/>
        <v>0</v>
      </c>
      <c r="P22" s="2413">
        <f t="shared" si="5"/>
        <v>0</v>
      </c>
      <c r="Q22" s="2413">
        <f t="shared" si="5"/>
        <v>0</v>
      </c>
      <c r="R22" s="2413">
        <f t="shared" si="5"/>
        <v>0</v>
      </c>
    </row>
    <row r="23" ht="18.75" customHeight="1">
      <c r="B23" s="2414" t="s">
        <v>121</v>
      </c>
      <c r="D23" s="2415">
        <f t="shared" ref="D23:R23" si="6">COUNTIF(D6:D18,"NG")</f>
        <v>0</v>
      </c>
      <c r="E23" s="2415">
        <f t="shared" si="6"/>
        <v>1</v>
      </c>
      <c r="F23" s="2415">
        <f t="shared" si="6"/>
        <v>1</v>
      </c>
      <c r="G23" s="2415">
        <f t="shared" si="6"/>
        <v>2</v>
      </c>
      <c r="H23" s="2415">
        <f t="shared" si="6"/>
        <v>2</v>
      </c>
      <c r="I23" s="2415">
        <f t="shared" si="6"/>
        <v>2</v>
      </c>
      <c r="J23" s="2415">
        <f t="shared" si="6"/>
        <v>2</v>
      </c>
      <c r="K23" s="2415">
        <f t="shared" si="6"/>
        <v>1</v>
      </c>
      <c r="L23" s="2415">
        <f t="shared" si="6"/>
        <v>1</v>
      </c>
      <c r="M23" s="2415">
        <f t="shared" si="6"/>
        <v>1</v>
      </c>
      <c r="N23" s="2415">
        <f t="shared" si="6"/>
        <v>1</v>
      </c>
      <c r="O23" s="2415">
        <f t="shared" si="6"/>
        <v>7</v>
      </c>
      <c r="P23" s="2415">
        <f t="shared" si="6"/>
        <v>7</v>
      </c>
      <c r="Q23" s="2415">
        <f t="shared" si="6"/>
        <v>7</v>
      </c>
      <c r="R23" s="2415">
        <f t="shared" si="6"/>
        <v>7</v>
      </c>
    </row>
    <row r="24" ht="18.75" customHeight="1">
      <c r="B24" s="2416" t="s">
        <v>122</v>
      </c>
      <c r="D24" s="2417">
        <f t="shared" ref="D24:R24" si="7">SUM(D20:D23)</f>
        <v>7</v>
      </c>
      <c r="E24" s="2417">
        <f t="shared" si="7"/>
        <v>7</v>
      </c>
      <c r="F24" s="2417">
        <f t="shared" si="7"/>
        <v>7</v>
      </c>
      <c r="G24" s="2417">
        <f t="shared" si="7"/>
        <v>7</v>
      </c>
      <c r="H24" s="2417">
        <f t="shared" si="7"/>
        <v>7</v>
      </c>
      <c r="I24" s="2417">
        <f t="shared" si="7"/>
        <v>7</v>
      </c>
      <c r="J24" s="2417">
        <f t="shared" si="7"/>
        <v>7</v>
      </c>
      <c r="K24" s="2417">
        <f t="shared" si="7"/>
        <v>7</v>
      </c>
      <c r="L24" s="2417">
        <f t="shared" si="7"/>
        <v>7</v>
      </c>
      <c r="M24" s="2417">
        <f t="shared" si="7"/>
        <v>7</v>
      </c>
      <c r="N24" s="2417">
        <f t="shared" si="7"/>
        <v>7</v>
      </c>
      <c r="O24" s="2417">
        <f t="shared" si="7"/>
        <v>7</v>
      </c>
      <c r="P24" s="2417">
        <f t="shared" si="7"/>
        <v>7</v>
      </c>
      <c r="Q24" s="2417">
        <f t="shared" si="7"/>
        <v>7</v>
      </c>
      <c r="R24" s="2417">
        <f t="shared" si="7"/>
        <v>7</v>
      </c>
    </row>
    <row r="25" ht="18.75" customHeight="1">
      <c r="B25" s="2418" t="s">
        <v>124</v>
      </c>
      <c r="D25" s="2419">
        <f t="shared" ref="D25:R25" si="8">D20+D21+D22</f>
        <v>7</v>
      </c>
      <c r="E25" s="2419">
        <f t="shared" si="8"/>
        <v>6</v>
      </c>
      <c r="F25" s="2419">
        <f t="shared" si="8"/>
        <v>6</v>
      </c>
      <c r="G25" s="2419">
        <f t="shared" si="8"/>
        <v>5</v>
      </c>
      <c r="H25" s="2419">
        <f t="shared" si="8"/>
        <v>5</v>
      </c>
      <c r="I25" s="2419">
        <f t="shared" si="8"/>
        <v>5</v>
      </c>
      <c r="J25" s="2419">
        <f t="shared" si="8"/>
        <v>5</v>
      </c>
      <c r="K25" s="2419">
        <f t="shared" si="8"/>
        <v>6</v>
      </c>
      <c r="L25" s="2419">
        <f t="shared" si="8"/>
        <v>6</v>
      </c>
      <c r="M25" s="2419">
        <f t="shared" si="8"/>
        <v>6</v>
      </c>
      <c r="N25" s="2419">
        <f t="shared" si="8"/>
        <v>6</v>
      </c>
      <c r="O25" s="2419">
        <f t="shared" si="8"/>
        <v>0</v>
      </c>
      <c r="P25" s="2419">
        <f t="shared" si="8"/>
        <v>0</v>
      </c>
      <c r="Q25" s="2419">
        <f t="shared" si="8"/>
        <v>0</v>
      </c>
      <c r="R25" s="2419">
        <f t="shared" si="8"/>
        <v>0</v>
      </c>
    </row>
    <row r="26" ht="18.75" customHeight="1">
      <c r="B26" s="2420" t="s">
        <v>125</v>
      </c>
      <c r="C26" s="131"/>
      <c r="D26" s="2204">
        <f t="shared" ref="D26:R26" si="9">IFERROR(D25/D24,"")</f>
        <v>1</v>
      </c>
      <c r="E26" s="2204">
        <f t="shared" si="9"/>
        <v>0.8571428571</v>
      </c>
      <c r="F26" s="2204">
        <f t="shared" si="9"/>
        <v>0.8571428571</v>
      </c>
      <c r="G26" s="2204">
        <f t="shared" si="9"/>
        <v>0.7142857143</v>
      </c>
      <c r="H26" s="2204">
        <f t="shared" si="9"/>
        <v>0.7142857143</v>
      </c>
      <c r="I26" s="2204">
        <f t="shared" si="9"/>
        <v>0.7142857143</v>
      </c>
      <c r="J26" s="2204">
        <f t="shared" si="9"/>
        <v>0.7142857143</v>
      </c>
      <c r="K26" s="2204">
        <f t="shared" si="9"/>
        <v>0.8571428571</v>
      </c>
      <c r="L26" s="2204">
        <f t="shared" si="9"/>
        <v>0.8571428571</v>
      </c>
      <c r="M26" s="2204">
        <f t="shared" si="9"/>
        <v>0.8571428571</v>
      </c>
      <c r="N26" s="2204">
        <f t="shared" si="9"/>
        <v>0.8571428571</v>
      </c>
      <c r="O26" s="2204">
        <f t="shared" si="9"/>
        <v>0</v>
      </c>
      <c r="P26" s="2204">
        <f t="shared" si="9"/>
        <v>0</v>
      </c>
      <c r="Q26" s="2204">
        <f t="shared" si="9"/>
        <v>0</v>
      </c>
      <c r="R26" s="2204">
        <f t="shared" si="9"/>
        <v>0</v>
      </c>
    </row>
    <row r="27" ht="18.75" customHeight="1">
      <c r="A27" s="2360"/>
      <c r="B27" s="2360"/>
      <c r="C27" s="2360"/>
      <c r="D27" s="2354"/>
      <c r="E27" s="2354"/>
      <c r="F27" s="2354"/>
      <c r="G27" s="2354"/>
      <c r="H27" s="2354"/>
      <c r="I27" s="2354"/>
      <c r="J27" s="2354"/>
      <c r="K27" s="2354"/>
      <c r="L27" s="2354"/>
      <c r="M27" s="2354"/>
      <c r="N27" s="2354"/>
      <c r="O27" s="2354"/>
      <c r="P27" s="2354"/>
      <c r="Q27" s="2354"/>
      <c r="R27" s="2354"/>
    </row>
    <row r="28" ht="18.75" customHeight="1">
      <c r="A28" s="2354"/>
      <c r="B28" s="2354"/>
      <c r="C28" s="2354"/>
      <c r="D28" s="2354"/>
      <c r="E28" s="2354"/>
      <c r="F28" s="2354"/>
      <c r="G28" s="2354"/>
      <c r="H28" s="2354"/>
      <c r="I28" s="2354"/>
      <c r="J28" s="2354"/>
      <c r="K28" s="2354"/>
      <c r="L28" s="2354"/>
      <c r="M28" s="2354"/>
      <c r="N28" s="2354"/>
      <c r="O28" s="2354"/>
      <c r="P28" s="2354"/>
      <c r="Q28" s="2354"/>
      <c r="R28" s="2354"/>
    </row>
  </sheetData>
  <mergeCells count="17">
    <mergeCell ref="A2:C2"/>
    <mergeCell ref="D2:R2"/>
    <mergeCell ref="A4:C4"/>
    <mergeCell ref="D4:R6"/>
    <mergeCell ref="A5:C6"/>
    <mergeCell ref="A9:A11"/>
    <mergeCell ref="A13:A18"/>
    <mergeCell ref="B24:C24"/>
    <mergeCell ref="B25:C25"/>
    <mergeCell ref="B14:B15"/>
    <mergeCell ref="B16:B17"/>
    <mergeCell ref="A20:A26"/>
    <mergeCell ref="B20:C20"/>
    <mergeCell ref="B21:C21"/>
    <mergeCell ref="B22:C22"/>
    <mergeCell ref="B23:C23"/>
    <mergeCell ref="B26:C26"/>
  </mergeCells>
  <conditionalFormatting sqref="N9:R10 D10:M10 G14:R18 D15:D18 E18:F18">
    <cfRule type="containsText" dxfId="3" priority="1" operator="containsText" text="tegen">
      <formula>NOT(ISERROR(SEARCH(("tegen"),(N9))))</formula>
    </cfRule>
  </conditionalFormatting>
  <conditionalFormatting sqref="N9:R10 D10:M10 E14:R18 D15:D18">
    <cfRule type="cellIs" dxfId="5" priority="2" operator="equal">
      <formula>"NG"</formula>
    </cfRule>
  </conditionalFormatting>
  <conditionalFormatting sqref="D9:R11 B11:C11 D13:R18">
    <cfRule type="containsText" dxfId="4" priority="3" operator="containsText" text="voor">
      <formula>NOT(ISERROR(SEARCH(("voor"),(D9))))</formula>
    </cfRule>
  </conditionalFormatting>
  <conditionalFormatting sqref="D9:D18 E9:R11 B11:C11 E13:R18">
    <cfRule type="containsText" dxfId="2" priority="4" operator="containsText" text="SO">
      <formula>NOT(ISERROR(SEARCH(("SO"),(D9))))</formula>
    </cfRule>
  </conditionalFormatting>
  <conditionalFormatting sqref="D12">
    <cfRule type="containsText" dxfId="36" priority="5" operator="containsText" text="voor">
      <formula>NOT(ISERROR(SEARCH(("voor"),(D12))))</formula>
    </cfRule>
  </conditionalFormatting>
  <conditionalFormatting sqref="D9:D18 E9:R11 B11:C11 E13:R18">
    <cfRule type="containsText" dxfId="5" priority="6" operator="containsText" text="NG">
      <formula>NOT(ISERROR(SEARCH(("NG"),(D9))))</formula>
    </cfRule>
  </conditionalFormatting>
  <conditionalFormatting sqref="D9:D18 E9:R11 B11:C11 E13:R18">
    <cfRule type="containsText" dxfId="6" priority="7" operator="containsText" text="NVT">
      <formula>NOT(ISERROR(SEARCH(("NVT"),(D9))))</formula>
    </cfRule>
  </conditionalFormatting>
  <conditionalFormatting sqref="A1:R3 G8:R11 D9:F11 B11:C11 E13:R18 D15:D18 D20:F28 G20:R27 A27:C27">
    <cfRule type="containsText" dxfId="27" priority="8" operator="containsText" text="SO">
      <formula>NOT(ISERROR(SEARCH(("SO"),(A1))))</formula>
    </cfRule>
  </conditionalFormatting>
  <conditionalFormatting sqref="A1:R3 G8:R11 D9:F11 B11:C11 E13:R18 D15:D18 D20:F28 G20:R27 A27:C27">
    <cfRule type="containsText" dxfId="28" priority="9" operator="containsText" text="N.v.t.">
      <formula>NOT(ISERROR(SEARCH(("N.v.t."),(A1))))</formula>
    </cfRule>
  </conditionalFormatting>
  <conditionalFormatting sqref="A1:R3 G8:R11 D9:F11 B11:C11 E13:R18 D15:D18 D20:F28 G20:R27 A27:C27">
    <cfRule type="containsText" dxfId="29" priority="10" operator="containsText" text="Voor">
      <formula>NOT(ISERROR(SEARCH(("Voor"),(A1))))</formula>
    </cfRule>
  </conditionalFormatting>
  <conditionalFormatting sqref="A1:R3 G8:R11 D9:F11 B11:C11 E13:R18 D15:D18 D20:F28 G20:R27 A27:C27">
    <cfRule type="containsText" dxfId="30" priority="11" operator="containsText" text="Tegen">
      <formula>NOT(ISERROR(SEARCH(("Tegen"),(A1))))</formula>
    </cfRule>
  </conditionalFormatting>
  <conditionalFormatting sqref="A1:R3 G8:R11 D9:F11 B11:C11 E13:R18 D15:D18 D20:F28 G20:R27 A27:C27">
    <cfRule type="containsText" dxfId="31" priority="12" operator="containsText" text="N.v.t.">
      <formula>NOT(ISERROR(SEARCH(("N.v.t."),(A1))))</formula>
    </cfRule>
  </conditionalFormatting>
  <conditionalFormatting sqref="A1:R3 G8:R11 D9:F11 B11:C11 E13:R18 D15:D18 D20:F28 G20:R27 A27:C27">
    <cfRule type="cellIs" dxfId="27" priority="13" operator="equal">
      <formula>"SO"</formula>
    </cfRule>
  </conditionalFormatting>
  <conditionalFormatting sqref="A1:R3 G8:R11 D9:F11 B11:C11 E13:R18 D15:D18 D20:F28 G20:R27 A27:C27">
    <cfRule type="cellIs" dxfId="32" priority="14" operator="equal">
      <formula>"NG"</formula>
    </cfRule>
  </conditionalFormatting>
  <conditionalFormatting sqref="A1:A5 B1:C4 D1:R6 A7:C8 D8:D18 E8:R11 B11:C12 A12 E13:R18 B14:C15 A19:C27 D20:F28 G20:R27">
    <cfRule type="containsText" dxfId="0" priority="15" operator="containsText" text="voor">
      <formula>NOT(ISERROR(SEARCH(("voor"),(A1))))</formula>
    </cfRule>
  </conditionalFormatting>
  <conditionalFormatting sqref="A1:A5 B1:C4 D1:R6 A7:C8 D8:D18 E8:R11 B11:C12 A12 E13:R18 B14:C15 A19:C27 D20:F28 G20:R27">
    <cfRule type="containsText" dxfId="1" priority="16" operator="containsText" text="tegen">
      <formula>NOT(ISERROR(SEARCH(("tegen"),(A1))))</formula>
    </cfRule>
  </conditionalFormatting>
  <conditionalFormatting sqref="A1:C3 D1:R6 D8:D18 E8:R11 B11:C11 E13:R18 D20:F28 G20:R27 A27:C27">
    <cfRule type="containsText" dxfId="33" priority="17" operator="containsText" text="SO">
      <formula>NOT(ISERROR(SEARCH(("SO"),(A1))))</formula>
    </cfRule>
  </conditionalFormatting>
  <conditionalFormatting sqref="A1:C3 D1:R6 D8:D18 E8:R11 B11:C11 E13:R18 D20:F28 G20:R27 A27:C27">
    <cfRule type="containsText" dxfId="34" priority="18" operator="containsText" text="NG">
      <formula>NOT(ISERROR(SEARCH(("NG"),(A1))))</formula>
    </cfRule>
  </conditionalFormatting>
  <drawing r:id="rId1"/>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74EA7"/>
    <outlinePr summaryBelow="0" summaryRight="0"/>
  </sheetPr>
  <sheetViews>
    <sheetView workbookViewId="0">
      <pane ySplit="4.0" topLeftCell="A5" activePane="bottomLeft" state="frozen"/>
      <selection activeCell="B6" sqref="B6" pane="bottomLeft"/>
    </sheetView>
  </sheetViews>
  <sheetFormatPr customHeight="1" defaultColWidth="14.43" defaultRowHeight="15.75"/>
  <cols>
    <col customWidth="1" min="1" max="1" width="2.86"/>
    <col customWidth="1" min="2" max="2" width="10.57"/>
    <col customWidth="1" min="3" max="3" width="5.86"/>
    <col customWidth="1" min="4" max="4" width="14.14"/>
    <col customWidth="1" min="5" max="5" width="5.86"/>
    <col customWidth="1" min="6" max="6" width="16.43"/>
    <col customWidth="1" min="7" max="7" width="72.0"/>
    <col customWidth="1" min="8" max="8" width="19.29"/>
    <col customWidth="1" min="9" max="9" width="5.86"/>
    <col customWidth="1" min="10" max="10" width="13.14"/>
    <col customWidth="1" min="11" max="11" width="11.71"/>
    <col customWidth="1" min="12" max="12" width="5.86"/>
    <col customWidth="1" min="13" max="13" width="14.71"/>
    <col customWidth="1" min="14" max="14" width="5.86"/>
  </cols>
  <sheetData>
    <row r="1">
      <c r="A1" s="2421" t="s">
        <v>1738</v>
      </c>
      <c r="E1" s="2275"/>
      <c r="F1" s="2422" t="s">
        <v>1739</v>
      </c>
      <c r="I1" s="2423"/>
      <c r="J1" s="2422" t="s">
        <v>1740</v>
      </c>
      <c r="L1" s="2424"/>
      <c r="M1" s="2425" t="s">
        <v>1741</v>
      </c>
      <c r="N1" s="2423"/>
    </row>
    <row r="2">
      <c r="A2" s="2279"/>
      <c r="B2" s="2280"/>
      <c r="C2" s="2280"/>
      <c r="D2" s="2280"/>
      <c r="E2" s="2281"/>
      <c r="F2" s="2280"/>
      <c r="G2" s="2280"/>
      <c r="H2" s="2280"/>
      <c r="I2" s="2423"/>
      <c r="J2" s="2280"/>
      <c r="K2" s="2280"/>
      <c r="L2" s="2424"/>
      <c r="M2" s="2282"/>
      <c r="N2" s="2423"/>
    </row>
    <row r="3">
      <c r="A3" s="2422"/>
      <c r="C3" s="2426"/>
      <c r="D3" s="2427" t="s">
        <v>1742</v>
      </c>
      <c r="E3" s="2428"/>
      <c r="F3" s="2429" t="s">
        <v>1743</v>
      </c>
      <c r="G3" s="2430" t="s">
        <v>155</v>
      </c>
      <c r="H3" s="2431" t="s">
        <v>1744</v>
      </c>
      <c r="I3" s="2423"/>
      <c r="J3" s="2432" t="s">
        <v>1745</v>
      </c>
      <c r="K3" s="2433" t="s">
        <v>1746</v>
      </c>
      <c r="L3" s="2424"/>
      <c r="M3" s="2282"/>
      <c r="N3" s="2423"/>
    </row>
    <row r="4">
      <c r="A4" s="2434"/>
      <c r="B4" s="2434"/>
      <c r="C4" s="2435"/>
      <c r="D4" s="2435"/>
      <c r="E4" s="2435"/>
      <c r="F4" s="2435"/>
      <c r="G4" s="2436"/>
      <c r="H4" s="2437"/>
      <c r="I4" s="2435"/>
      <c r="J4" s="2435"/>
      <c r="K4" s="2435"/>
      <c r="L4" s="2435"/>
      <c r="M4" s="2438"/>
      <c r="N4" s="2435"/>
    </row>
    <row r="5">
      <c r="A5" s="2439" t="s">
        <v>1747</v>
      </c>
      <c r="B5" s="2440">
        <v>43647.0</v>
      </c>
      <c r="C5" s="2441"/>
      <c r="D5" s="2442" t="s">
        <v>1748</v>
      </c>
      <c r="E5" s="2441"/>
      <c r="F5" s="2443" t="s">
        <v>297</v>
      </c>
      <c r="G5" s="2444" t="s">
        <v>1820</v>
      </c>
      <c r="H5" s="2445" t="s">
        <v>260</v>
      </c>
      <c r="I5" s="2423"/>
      <c r="J5" s="2446">
        <f>B5</f>
        <v>43647</v>
      </c>
      <c r="K5" s="2447">
        <f t="shared" ref="K5:K8" si="1">J5+3</f>
        <v>43650</v>
      </c>
      <c r="L5" s="2423"/>
      <c r="M5" s="2448"/>
      <c r="N5" s="2423"/>
    </row>
    <row r="6">
      <c r="C6" s="2441"/>
      <c r="D6" s="2442" t="s">
        <v>1759</v>
      </c>
      <c r="E6" s="2441"/>
      <c r="F6" s="2443" t="s">
        <v>966</v>
      </c>
      <c r="G6" s="2444" t="s">
        <v>1821</v>
      </c>
      <c r="H6" s="2449" t="s">
        <v>101</v>
      </c>
      <c r="I6" s="2423"/>
      <c r="J6" s="2446">
        <f>B5</f>
        <v>43647</v>
      </c>
      <c r="K6" s="2447">
        <f t="shared" si="1"/>
        <v>43650</v>
      </c>
      <c r="L6" s="2423"/>
      <c r="M6" s="2448"/>
      <c r="N6" s="2423"/>
    </row>
    <row r="7">
      <c r="A7" s="2439" t="s">
        <v>1749</v>
      </c>
      <c r="B7" s="2440">
        <f>B5+1</f>
        <v>43648</v>
      </c>
      <c r="C7" s="2441"/>
      <c r="D7" s="2442" t="s">
        <v>1748</v>
      </c>
      <c r="E7" s="2441"/>
      <c r="F7" s="2443" t="s">
        <v>298</v>
      </c>
      <c r="G7" s="2444" t="s">
        <v>1822</v>
      </c>
      <c r="H7" s="2445" t="s">
        <v>32</v>
      </c>
      <c r="I7" s="2423"/>
      <c r="J7" s="2446">
        <f t="shared" ref="J7:J8" si="2">B7</f>
        <v>43648</v>
      </c>
      <c r="K7" s="2447">
        <f t="shared" si="1"/>
        <v>43651</v>
      </c>
      <c r="L7" s="2423"/>
      <c r="M7" s="2448"/>
      <c r="N7" s="2423"/>
    </row>
    <row r="8">
      <c r="A8" s="2450" t="s">
        <v>1751</v>
      </c>
      <c r="B8" s="2440">
        <f>B7+1</f>
        <v>43649</v>
      </c>
      <c r="C8" s="2441"/>
      <c r="D8" s="2442" t="s">
        <v>1748</v>
      </c>
      <c r="E8" s="2441"/>
      <c r="F8" s="2451" t="s">
        <v>623</v>
      </c>
      <c r="G8" s="2452" t="s">
        <v>1823</v>
      </c>
      <c r="H8" s="2445" t="s">
        <v>294</v>
      </c>
      <c r="I8" s="2423"/>
      <c r="J8" s="2446">
        <f t="shared" si="2"/>
        <v>43649</v>
      </c>
      <c r="K8" s="2447">
        <f t="shared" si="1"/>
        <v>43652</v>
      </c>
      <c r="L8" s="2423"/>
      <c r="M8" s="2448"/>
      <c r="N8" s="2423"/>
    </row>
    <row r="9">
      <c r="C9" s="2441"/>
      <c r="D9" s="2453" t="s">
        <v>1759</v>
      </c>
      <c r="E9" s="2441"/>
      <c r="F9" s="2451" t="s">
        <v>61</v>
      </c>
      <c r="G9" s="2452" t="s">
        <v>1750</v>
      </c>
      <c r="H9" s="2454" t="s">
        <v>61</v>
      </c>
      <c r="I9" s="2423"/>
      <c r="J9" s="2455">
        <v>43649.0</v>
      </c>
      <c r="K9" s="2456">
        <v>43656.0</v>
      </c>
      <c r="L9" s="2423"/>
      <c r="M9" s="2448"/>
      <c r="N9" s="2423"/>
    </row>
    <row r="10">
      <c r="A10" s="2439" t="s">
        <v>1749</v>
      </c>
      <c r="B10" s="2440">
        <f>B8+1</f>
        <v>43650</v>
      </c>
      <c r="C10" s="2441"/>
      <c r="D10" s="2442" t="s">
        <v>1755</v>
      </c>
      <c r="E10" s="2441"/>
      <c r="F10" s="2451" t="s">
        <v>1824</v>
      </c>
      <c r="G10" s="2452" t="s">
        <v>1825</v>
      </c>
      <c r="H10" s="2457" t="s">
        <v>61</v>
      </c>
      <c r="I10" s="2423"/>
      <c r="J10" s="2446">
        <f>B10</f>
        <v>43650</v>
      </c>
      <c r="K10" s="2447">
        <f>J10+7</f>
        <v>43657</v>
      </c>
      <c r="L10" s="2423"/>
      <c r="M10" s="2448"/>
      <c r="N10" s="2423"/>
    </row>
    <row r="11">
      <c r="C11" s="2441"/>
      <c r="D11" s="2442" t="s">
        <v>1748</v>
      </c>
      <c r="E11" s="2441"/>
      <c r="F11" s="2451" t="s">
        <v>61</v>
      </c>
      <c r="G11" s="2452" t="s">
        <v>61</v>
      </c>
      <c r="H11" s="2454" t="s">
        <v>61</v>
      </c>
      <c r="I11" s="2423"/>
      <c r="J11" s="2446">
        <f>B10</f>
        <v>43650</v>
      </c>
      <c r="K11" s="2447">
        <f t="shared" ref="K11:K12" si="3">J11+3</f>
        <v>43653</v>
      </c>
      <c r="L11" s="2423"/>
      <c r="M11" s="2448"/>
      <c r="N11" s="2423"/>
    </row>
    <row r="12">
      <c r="A12" s="2439" t="s">
        <v>1758</v>
      </c>
      <c r="B12" s="2440">
        <f>B10+1</f>
        <v>43651</v>
      </c>
      <c r="C12" s="2441"/>
      <c r="D12" s="2442" t="s">
        <v>1759</v>
      </c>
      <c r="E12" s="2441"/>
      <c r="F12" s="2458" t="s">
        <v>966</v>
      </c>
      <c r="G12" s="2459" t="s">
        <v>1821</v>
      </c>
      <c r="H12" s="629" t="s">
        <v>101</v>
      </c>
      <c r="I12" s="2423"/>
      <c r="J12" s="2446">
        <f>B12</f>
        <v>43651</v>
      </c>
      <c r="K12" s="2447">
        <f t="shared" si="3"/>
        <v>43654</v>
      </c>
      <c r="L12" s="2423"/>
      <c r="M12" s="2448"/>
      <c r="N12" s="2423"/>
    </row>
    <row r="13">
      <c r="A13" s="2439" t="s">
        <v>1761</v>
      </c>
      <c r="B13" s="2440">
        <f t="shared" ref="B13:B15" si="4">B12+1</f>
        <v>43652</v>
      </c>
      <c r="C13" s="2441"/>
      <c r="D13" s="2442" t="s">
        <v>1513</v>
      </c>
      <c r="E13" s="2441"/>
      <c r="F13" s="2458" t="s">
        <v>61</v>
      </c>
      <c r="G13" s="2460" t="s">
        <v>61</v>
      </c>
      <c r="H13" s="2461" t="s">
        <v>61</v>
      </c>
      <c r="I13" s="2423"/>
      <c r="J13" s="2462"/>
      <c r="K13" s="2463"/>
      <c r="L13" s="2423"/>
      <c r="M13" s="2448"/>
      <c r="N13" s="2423"/>
    </row>
    <row r="14">
      <c r="A14" s="2464" t="s">
        <v>1761</v>
      </c>
      <c r="B14" s="2465">
        <f t="shared" si="4"/>
        <v>43653</v>
      </c>
      <c r="C14" s="2466"/>
      <c r="D14" s="2467" t="s">
        <v>1762</v>
      </c>
      <c r="E14" s="2466"/>
      <c r="F14" s="2468" t="s">
        <v>61</v>
      </c>
      <c r="G14" s="2469" t="s">
        <v>61</v>
      </c>
      <c r="H14" s="2470" t="s">
        <v>61</v>
      </c>
      <c r="I14" s="2435"/>
      <c r="J14" s="2471"/>
      <c r="K14" s="2472"/>
      <c r="L14" s="2435"/>
      <c r="M14" s="2473"/>
      <c r="N14" s="2435"/>
    </row>
    <row r="15">
      <c r="A15" s="2439" t="s">
        <v>1747</v>
      </c>
      <c r="B15" s="2440">
        <f t="shared" si="4"/>
        <v>43654</v>
      </c>
      <c r="C15" s="2441"/>
      <c r="D15" s="2442" t="s">
        <v>1748</v>
      </c>
      <c r="E15" s="2441"/>
      <c r="F15" s="2458" t="s">
        <v>300</v>
      </c>
      <c r="G15" s="2460" t="s">
        <v>1826</v>
      </c>
      <c r="H15" s="2474" t="s">
        <v>301</v>
      </c>
      <c r="I15" s="2423"/>
      <c r="J15" s="2446">
        <f>B15</f>
        <v>43654</v>
      </c>
      <c r="K15" s="2447">
        <f t="shared" ref="K15:K19" si="5">J15+3</f>
        <v>43657</v>
      </c>
      <c r="L15" s="2423"/>
      <c r="M15" s="2448"/>
      <c r="N15" s="2423"/>
    </row>
    <row r="16">
      <c r="C16" s="2441"/>
      <c r="D16" s="2453" t="s">
        <v>1759</v>
      </c>
      <c r="E16" s="2441"/>
      <c r="F16" s="2458" t="s">
        <v>967</v>
      </c>
      <c r="G16" s="2459" t="s">
        <v>1827</v>
      </c>
      <c r="H16" s="2475" t="s">
        <v>244</v>
      </c>
      <c r="I16" s="2423"/>
      <c r="J16" s="2446">
        <f>B15</f>
        <v>43654</v>
      </c>
      <c r="K16" s="2447">
        <f t="shared" si="5"/>
        <v>43657</v>
      </c>
      <c r="L16" s="2423"/>
      <c r="M16" s="2448"/>
      <c r="N16" s="2423"/>
    </row>
    <row r="17">
      <c r="A17" s="2439" t="s">
        <v>1749</v>
      </c>
      <c r="B17" s="2440">
        <f>B15+1</f>
        <v>43655</v>
      </c>
      <c r="C17" s="2441"/>
      <c r="D17" s="2442" t="s">
        <v>1748</v>
      </c>
      <c r="E17" s="2441"/>
      <c r="F17" s="2458" t="s">
        <v>302</v>
      </c>
      <c r="G17" s="2444" t="s">
        <v>1820</v>
      </c>
      <c r="H17" s="2445" t="s">
        <v>260</v>
      </c>
      <c r="I17" s="2423"/>
      <c r="J17" s="2446">
        <f t="shared" ref="J17:J18" si="6">B17</f>
        <v>43655</v>
      </c>
      <c r="K17" s="2447">
        <f t="shared" si="5"/>
        <v>43658</v>
      </c>
      <c r="L17" s="2423"/>
      <c r="M17" s="2448"/>
      <c r="N17" s="2423"/>
    </row>
    <row r="18">
      <c r="A18" s="2450" t="s">
        <v>1751</v>
      </c>
      <c r="B18" s="2476">
        <f>B17+1</f>
        <v>43656</v>
      </c>
      <c r="C18" s="2441"/>
      <c r="D18" s="2442" t="s">
        <v>1748</v>
      </c>
      <c r="E18" s="2441"/>
      <c r="F18" s="2458" t="s">
        <v>842</v>
      </c>
      <c r="G18" s="2460" t="s">
        <v>1828</v>
      </c>
      <c r="H18" s="2477" t="s">
        <v>176</v>
      </c>
      <c r="I18" s="2423"/>
      <c r="J18" s="2446">
        <f t="shared" si="6"/>
        <v>43656</v>
      </c>
      <c r="K18" s="2447">
        <f t="shared" si="5"/>
        <v>43659</v>
      </c>
      <c r="L18" s="2423"/>
      <c r="M18" s="2448"/>
      <c r="N18" s="2423"/>
    </row>
    <row r="19">
      <c r="C19" s="2441"/>
      <c r="D19" s="2453" t="s">
        <v>1748</v>
      </c>
      <c r="E19" s="2441"/>
      <c r="F19" s="2458" t="s">
        <v>624</v>
      </c>
      <c r="G19" s="2460" t="s">
        <v>1829</v>
      </c>
      <c r="H19" s="2475" t="s">
        <v>252</v>
      </c>
      <c r="I19" s="2423"/>
      <c r="J19" s="2446">
        <f>B18</f>
        <v>43656</v>
      </c>
      <c r="K19" s="2447">
        <f t="shared" si="5"/>
        <v>43659</v>
      </c>
      <c r="L19" s="2423"/>
      <c r="M19" s="2448"/>
      <c r="N19" s="2423"/>
    </row>
    <row r="20">
      <c r="A20" s="2439" t="s">
        <v>1749</v>
      </c>
      <c r="B20" s="2440">
        <f>B18+1</f>
        <v>43657</v>
      </c>
      <c r="C20" s="2441"/>
      <c r="D20" s="2442" t="s">
        <v>1755</v>
      </c>
      <c r="E20" s="2441"/>
      <c r="F20" s="2458" t="s">
        <v>1830</v>
      </c>
      <c r="G20" s="2460" t="s">
        <v>1831</v>
      </c>
      <c r="H20" s="2478" t="s">
        <v>61</v>
      </c>
      <c r="I20" s="2423"/>
      <c r="J20" s="2446">
        <f>B20</f>
        <v>43657</v>
      </c>
      <c r="K20" s="2447">
        <f>J20+7</f>
        <v>43664</v>
      </c>
      <c r="L20" s="2423"/>
      <c r="M20" s="2448"/>
      <c r="N20" s="2423"/>
    </row>
    <row r="21">
      <c r="C21" s="2441"/>
      <c r="D21" s="2442" t="s">
        <v>1748</v>
      </c>
      <c r="E21" s="2441"/>
      <c r="F21" s="2458" t="s">
        <v>303</v>
      </c>
      <c r="G21" s="2460" t="s">
        <v>1832</v>
      </c>
      <c r="H21" s="2475" t="s">
        <v>252</v>
      </c>
      <c r="I21" s="2423"/>
      <c r="J21" s="2446">
        <f>B20</f>
        <v>43657</v>
      </c>
      <c r="K21" s="2447">
        <f t="shared" ref="K21:K22" si="7">J21+3</f>
        <v>43660</v>
      </c>
      <c r="L21" s="2423"/>
      <c r="M21" s="2448"/>
      <c r="N21" s="2423"/>
    </row>
    <row r="22">
      <c r="A22" s="2439" t="s">
        <v>1758</v>
      </c>
      <c r="B22" s="2440">
        <f>B20+1</f>
        <v>43658</v>
      </c>
      <c r="C22" s="2441"/>
      <c r="D22" s="2442" t="s">
        <v>1759</v>
      </c>
      <c r="E22" s="2441"/>
      <c r="F22" s="2458" t="s">
        <v>968</v>
      </c>
      <c r="G22" s="2460" t="s">
        <v>1833</v>
      </c>
      <c r="H22" s="2445" t="s">
        <v>294</v>
      </c>
      <c r="I22" s="2423"/>
      <c r="J22" s="2446">
        <f>B22</f>
        <v>43658</v>
      </c>
      <c r="K22" s="2447">
        <f t="shared" si="7"/>
        <v>43661</v>
      </c>
      <c r="L22" s="2423"/>
      <c r="M22" s="2448"/>
      <c r="N22" s="2423"/>
    </row>
    <row r="23">
      <c r="A23" s="2439" t="s">
        <v>1761</v>
      </c>
      <c r="B23" s="2440">
        <f t="shared" ref="B23:B25" si="8">B22+1</f>
        <v>43659</v>
      </c>
      <c r="C23" s="2441"/>
      <c r="D23" s="2442" t="s">
        <v>1513</v>
      </c>
      <c r="E23" s="2441"/>
      <c r="F23" s="2458" t="s">
        <v>61</v>
      </c>
      <c r="G23" s="2460" t="s">
        <v>61</v>
      </c>
      <c r="H23" s="2461" t="s">
        <v>61</v>
      </c>
      <c r="I23" s="2423"/>
      <c r="J23" s="2462"/>
      <c r="K23" s="2463"/>
      <c r="L23" s="2423"/>
      <c r="M23" s="2448"/>
      <c r="N23" s="2423"/>
    </row>
    <row r="24">
      <c r="A24" s="2464" t="s">
        <v>1761</v>
      </c>
      <c r="B24" s="2465">
        <f t="shared" si="8"/>
        <v>43660</v>
      </c>
      <c r="C24" s="2466"/>
      <c r="D24" s="2467" t="s">
        <v>1762</v>
      </c>
      <c r="E24" s="2466"/>
      <c r="F24" s="2468" t="s">
        <v>61</v>
      </c>
      <c r="G24" s="2469" t="s">
        <v>61</v>
      </c>
      <c r="H24" s="2470" t="s">
        <v>61</v>
      </c>
      <c r="I24" s="2435"/>
      <c r="J24" s="2471"/>
      <c r="K24" s="2472"/>
      <c r="L24" s="2435"/>
      <c r="M24" s="2473"/>
      <c r="N24" s="2435"/>
    </row>
    <row r="25">
      <c r="A25" s="2439" t="s">
        <v>1747</v>
      </c>
      <c r="B25" s="2440">
        <f t="shared" si="8"/>
        <v>43661</v>
      </c>
      <c r="C25" s="2441"/>
      <c r="D25" s="2442" t="s">
        <v>1748</v>
      </c>
      <c r="E25" s="2441"/>
      <c r="F25" s="2458" t="s">
        <v>843</v>
      </c>
      <c r="G25" s="2460" t="s">
        <v>1834</v>
      </c>
      <c r="H25" s="2477" t="s">
        <v>176</v>
      </c>
      <c r="I25" s="2423"/>
      <c r="J25" s="2446">
        <f>B25</f>
        <v>43661</v>
      </c>
      <c r="K25" s="2447">
        <f t="shared" ref="K25:K30" si="9">J25+3</f>
        <v>43664</v>
      </c>
      <c r="L25" s="2423"/>
      <c r="M25" s="2448"/>
      <c r="N25" s="2423"/>
    </row>
    <row r="26">
      <c r="C26" s="2441"/>
      <c r="D26" s="2453" t="s">
        <v>1748</v>
      </c>
      <c r="E26" s="2441"/>
      <c r="F26" s="2458" t="s">
        <v>304</v>
      </c>
      <c r="G26" s="2460" t="s">
        <v>1835</v>
      </c>
      <c r="H26" s="2479" t="s">
        <v>306</v>
      </c>
      <c r="I26" s="2423"/>
      <c r="J26" s="2446">
        <f>B25</f>
        <v>43661</v>
      </c>
      <c r="K26" s="2447">
        <f t="shared" si="9"/>
        <v>43664</v>
      </c>
      <c r="L26" s="2423"/>
      <c r="M26" s="2448"/>
      <c r="N26" s="2423"/>
    </row>
    <row r="27">
      <c r="A27" s="2439" t="s">
        <v>1749</v>
      </c>
      <c r="B27" s="2440">
        <f>B25+1</f>
        <v>43662</v>
      </c>
      <c r="C27" s="2441"/>
      <c r="D27" s="2453" t="s">
        <v>1748</v>
      </c>
      <c r="E27" s="2441"/>
      <c r="F27" s="2458" t="s">
        <v>844</v>
      </c>
      <c r="G27" s="2460" t="s">
        <v>1836</v>
      </c>
      <c r="H27" s="2480" t="s">
        <v>102</v>
      </c>
      <c r="I27" s="2423"/>
      <c r="J27" s="2446">
        <f>B27</f>
        <v>43662</v>
      </c>
      <c r="K27" s="2447">
        <f t="shared" si="9"/>
        <v>43665</v>
      </c>
      <c r="L27" s="2423"/>
      <c r="M27" s="2448"/>
      <c r="N27" s="2423"/>
    </row>
    <row r="28">
      <c r="C28" s="2441"/>
      <c r="D28" s="2442" t="s">
        <v>1748</v>
      </c>
      <c r="E28" s="2441"/>
      <c r="F28" s="2458" t="s">
        <v>307</v>
      </c>
      <c r="G28" s="2460" t="s">
        <v>1837</v>
      </c>
      <c r="H28" s="2481" t="s">
        <v>308</v>
      </c>
      <c r="I28" s="2423"/>
      <c r="J28" s="2446">
        <f>B27</f>
        <v>43662</v>
      </c>
      <c r="K28" s="2447">
        <f t="shared" si="9"/>
        <v>43665</v>
      </c>
      <c r="L28" s="2423"/>
      <c r="M28" s="2448"/>
      <c r="N28" s="2423"/>
    </row>
    <row r="29">
      <c r="A29" s="2439" t="s">
        <v>1751</v>
      </c>
      <c r="B29" s="2440">
        <f>B27+1</f>
        <v>43663</v>
      </c>
      <c r="C29" s="2441"/>
      <c r="D29" s="2453" t="s">
        <v>1748</v>
      </c>
      <c r="E29" s="2441"/>
      <c r="F29" s="2458" t="s">
        <v>1838</v>
      </c>
      <c r="G29" s="2460" t="s">
        <v>1839</v>
      </c>
      <c r="H29" s="2481" t="s">
        <v>201</v>
      </c>
      <c r="I29" s="2423"/>
      <c r="J29" s="2446">
        <f>B29</f>
        <v>43663</v>
      </c>
      <c r="K29" s="2447">
        <f t="shared" si="9"/>
        <v>43666</v>
      </c>
      <c r="L29" s="2423"/>
      <c r="M29" s="2448"/>
      <c r="N29" s="2423"/>
    </row>
    <row r="30">
      <c r="C30" s="2441"/>
      <c r="D30" s="2442" t="s">
        <v>1748</v>
      </c>
      <c r="E30" s="2441"/>
      <c r="F30" s="2458" t="s">
        <v>625</v>
      </c>
      <c r="G30" s="2460" t="s">
        <v>1840</v>
      </c>
      <c r="H30" s="2475" t="s">
        <v>252</v>
      </c>
      <c r="I30" s="2423"/>
      <c r="J30" s="2446">
        <f>B29</f>
        <v>43663</v>
      </c>
      <c r="K30" s="2447">
        <f t="shared" si="9"/>
        <v>43666</v>
      </c>
      <c r="L30" s="2423"/>
      <c r="M30" s="2448"/>
      <c r="N30" s="2423"/>
    </row>
    <row r="31">
      <c r="A31" s="2439" t="s">
        <v>1749</v>
      </c>
      <c r="B31" s="2440">
        <f>B29+1</f>
        <v>43664</v>
      </c>
      <c r="C31" s="2441"/>
      <c r="D31" s="2442" t="s">
        <v>1755</v>
      </c>
      <c r="E31" s="2441"/>
      <c r="F31" s="2458" t="s">
        <v>1841</v>
      </c>
      <c r="G31" s="2460" t="s">
        <v>1842</v>
      </c>
      <c r="H31" s="2478" t="s">
        <v>61</v>
      </c>
      <c r="I31" s="2423"/>
      <c r="J31" s="2446">
        <f>B31</f>
        <v>43664</v>
      </c>
      <c r="K31" s="2447">
        <f>J31+7</f>
        <v>43671</v>
      </c>
      <c r="L31" s="2423"/>
      <c r="M31" s="2448"/>
      <c r="N31" s="2423"/>
    </row>
    <row r="32">
      <c r="C32" s="2441"/>
      <c r="D32" s="2442" t="s">
        <v>1748</v>
      </c>
      <c r="E32" s="2441"/>
      <c r="F32" s="2458" t="s">
        <v>626</v>
      </c>
      <c r="G32" s="2460" t="s">
        <v>1843</v>
      </c>
      <c r="H32" s="2445" t="s">
        <v>294</v>
      </c>
      <c r="I32" s="2423"/>
      <c r="J32" s="2446">
        <f>B31</f>
        <v>43664</v>
      </c>
      <c r="K32" s="2447">
        <f t="shared" ref="K32:K33" si="10">J32+3</f>
        <v>43667</v>
      </c>
      <c r="L32" s="2423"/>
      <c r="M32" s="2448"/>
      <c r="N32" s="2423"/>
    </row>
    <row r="33">
      <c r="A33" s="2439" t="s">
        <v>1758</v>
      </c>
      <c r="B33" s="2440">
        <f>B31+1</f>
        <v>43665</v>
      </c>
      <c r="C33" s="2441"/>
      <c r="D33" s="2442" t="s">
        <v>1759</v>
      </c>
      <c r="E33" s="2441"/>
      <c r="F33" s="2458" t="s">
        <v>969</v>
      </c>
      <c r="G33" s="2460" t="s">
        <v>1844</v>
      </c>
      <c r="H33" s="2477" t="s">
        <v>176</v>
      </c>
      <c r="I33" s="2423"/>
      <c r="J33" s="2446">
        <f>B33</f>
        <v>43665</v>
      </c>
      <c r="K33" s="2447">
        <f t="shared" si="10"/>
        <v>43668</v>
      </c>
      <c r="L33" s="2423"/>
      <c r="M33" s="2448"/>
      <c r="N33" s="2423"/>
    </row>
    <row r="34">
      <c r="A34" s="2439" t="s">
        <v>1761</v>
      </c>
      <c r="B34" s="2440">
        <f t="shared" ref="B34:B36" si="11">B33+1</f>
        <v>43666</v>
      </c>
      <c r="C34" s="2441"/>
      <c r="D34" s="2442" t="s">
        <v>1513</v>
      </c>
      <c r="E34" s="2441"/>
      <c r="F34" s="2458" t="s">
        <v>61</v>
      </c>
      <c r="G34" s="2460" t="s">
        <v>61</v>
      </c>
      <c r="H34" s="2461" t="s">
        <v>61</v>
      </c>
      <c r="I34" s="2423"/>
      <c r="J34" s="2462"/>
      <c r="K34" s="2463"/>
      <c r="L34" s="2423"/>
      <c r="M34" s="2448"/>
      <c r="N34" s="2423"/>
    </row>
    <row r="35">
      <c r="A35" s="2464" t="s">
        <v>1761</v>
      </c>
      <c r="B35" s="2465">
        <f t="shared" si="11"/>
        <v>43667</v>
      </c>
      <c r="C35" s="2466"/>
      <c r="D35" s="2467" t="s">
        <v>1762</v>
      </c>
      <c r="E35" s="2466"/>
      <c r="F35" s="2468" t="s">
        <v>61</v>
      </c>
      <c r="G35" s="2469" t="s">
        <v>61</v>
      </c>
      <c r="H35" s="2470" t="s">
        <v>61</v>
      </c>
      <c r="I35" s="2435"/>
      <c r="J35" s="2471"/>
      <c r="K35" s="2472"/>
      <c r="L35" s="2435"/>
      <c r="M35" s="2473"/>
      <c r="N35" s="2435"/>
    </row>
    <row r="36">
      <c r="A36" s="2439" t="s">
        <v>1747</v>
      </c>
      <c r="B36" s="2440">
        <f t="shared" si="11"/>
        <v>43668</v>
      </c>
      <c r="C36" s="2441"/>
      <c r="D36" s="2442" t="s">
        <v>1748</v>
      </c>
      <c r="E36" s="2441"/>
      <c r="F36" s="2458" t="s">
        <v>627</v>
      </c>
      <c r="G36" s="2460" t="s">
        <v>1845</v>
      </c>
      <c r="H36" s="2477" t="s">
        <v>176</v>
      </c>
      <c r="I36" s="2423"/>
      <c r="J36" s="2446">
        <f>B36</f>
        <v>43668</v>
      </c>
      <c r="K36" s="2447">
        <f t="shared" ref="K36:K40" si="12">J36+3</f>
        <v>43671</v>
      </c>
      <c r="L36" s="2423"/>
      <c r="M36" s="2448"/>
      <c r="N36" s="2423"/>
    </row>
    <row r="37">
      <c r="C37" s="2441"/>
      <c r="D37" s="2453" t="s">
        <v>1748</v>
      </c>
      <c r="E37" s="2441"/>
      <c r="F37" s="2458" t="s">
        <v>310</v>
      </c>
      <c r="G37" s="2460" t="s">
        <v>1846</v>
      </c>
      <c r="H37" s="2482" t="s">
        <v>102</v>
      </c>
      <c r="I37" s="2423"/>
      <c r="J37" s="2446">
        <f>B36</f>
        <v>43668</v>
      </c>
      <c r="K37" s="2447">
        <f t="shared" si="12"/>
        <v>43671</v>
      </c>
      <c r="L37" s="2423"/>
      <c r="M37" s="2448"/>
      <c r="N37" s="2423"/>
    </row>
    <row r="38">
      <c r="A38" s="2439" t="s">
        <v>1749</v>
      </c>
      <c r="B38" s="2440">
        <f>B36+1</f>
        <v>43669</v>
      </c>
      <c r="C38" s="2441"/>
      <c r="D38" s="2442" t="s">
        <v>1748</v>
      </c>
      <c r="E38" s="2441"/>
      <c r="F38" s="2458" t="s">
        <v>1847</v>
      </c>
      <c r="G38" s="2460" t="s">
        <v>1848</v>
      </c>
      <c r="H38" s="2445" t="s">
        <v>294</v>
      </c>
      <c r="I38" s="2423"/>
      <c r="J38" s="2446">
        <f>B38</f>
        <v>43669</v>
      </c>
      <c r="K38" s="2447">
        <f t="shared" si="12"/>
        <v>43672</v>
      </c>
      <c r="L38" s="2423"/>
      <c r="M38" s="2448"/>
      <c r="N38" s="2423"/>
    </row>
    <row r="39">
      <c r="C39" s="2441"/>
      <c r="D39" s="2442" t="s">
        <v>1748</v>
      </c>
      <c r="E39" s="2441"/>
      <c r="F39" s="2458" t="s">
        <v>316</v>
      </c>
      <c r="G39" s="2460" t="s">
        <v>1849</v>
      </c>
      <c r="H39" s="2445" t="s">
        <v>294</v>
      </c>
      <c r="I39" s="2423"/>
      <c r="J39" s="2446">
        <f>B38</f>
        <v>43669</v>
      </c>
      <c r="K39" s="2447">
        <f t="shared" si="12"/>
        <v>43672</v>
      </c>
      <c r="L39" s="2423"/>
      <c r="M39" s="2448"/>
      <c r="N39" s="2423"/>
    </row>
    <row r="40">
      <c r="A40" s="2439" t="s">
        <v>1751</v>
      </c>
      <c r="B40" s="2440">
        <f>B38+1</f>
        <v>43670</v>
      </c>
      <c r="C40" s="2441"/>
      <c r="D40" s="2442" t="s">
        <v>1748</v>
      </c>
      <c r="E40" s="2441"/>
      <c r="F40" s="2458" t="s">
        <v>628</v>
      </c>
      <c r="G40" s="2460" t="s">
        <v>1850</v>
      </c>
      <c r="H40" s="2445" t="s">
        <v>260</v>
      </c>
      <c r="I40" s="2423"/>
      <c r="J40" s="2446">
        <f t="shared" ref="J40:J41" si="13">B40</f>
        <v>43670</v>
      </c>
      <c r="K40" s="2447">
        <f t="shared" si="12"/>
        <v>43673</v>
      </c>
      <c r="L40" s="2423"/>
      <c r="M40" s="2448"/>
      <c r="N40" s="2423"/>
    </row>
    <row r="41">
      <c r="A41" s="2439" t="s">
        <v>1749</v>
      </c>
      <c r="B41" s="2440">
        <f>B40+1</f>
        <v>43671</v>
      </c>
      <c r="C41" s="2441"/>
      <c r="D41" s="2442" t="s">
        <v>1755</v>
      </c>
      <c r="E41" s="2441"/>
      <c r="F41" s="2458" t="s">
        <v>1851</v>
      </c>
      <c r="G41" s="2460" t="s">
        <v>1852</v>
      </c>
      <c r="H41" s="2478" t="s">
        <v>61</v>
      </c>
      <c r="I41" s="2423"/>
      <c r="J41" s="2446">
        <f t="shared" si="13"/>
        <v>43671</v>
      </c>
      <c r="K41" s="2447">
        <f>J41+7</f>
        <v>43678</v>
      </c>
      <c r="L41" s="2423"/>
      <c r="M41" s="2448"/>
      <c r="N41" s="2423"/>
    </row>
    <row r="42">
      <c r="C42" s="2441"/>
      <c r="D42" s="2442" t="s">
        <v>1748</v>
      </c>
      <c r="E42" s="2441"/>
      <c r="F42" s="2458" t="s">
        <v>317</v>
      </c>
      <c r="G42" s="2460" t="s">
        <v>1853</v>
      </c>
      <c r="H42" s="2475" t="s">
        <v>252</v>
      </c>
      <c r="I42" s="2423"/>
      <c r="J42" s="2446">
        <f>B41</f>
        <v>43671</v>
      </c>
      <c r="K42" s="2447">
        <f t="shared" ref="K42:K43" si="14">J42+3</f>
        <v>43674</v>
      </c>
      <c r="L42" s="2423"/>
      <c r="M42" s="2448"/>
      <c r="N42" s="2423"/>
    </row>
    <row r="43">
      <c r="A43" s="2439" t="s">
        <v>1758</v>
      </c>
      <c r="B43" s="2440">
        <f>B41+1</f>
        <v>43672</v>
      </c>
      <c r="C43" s="2441"/>
      <c r="D43" s="2442" t="s">
        <v>1759</v>
      </c>
      <c r="E43" s="2441"/>
      <c r="F43" s="2458" t="s">
        <v>970</v>
      </c>
      <c r="G43" s="2460" t="s">
        <v>1854</v>
      </c>
      <c r="H43" s="2477" t="s">
        <v>176</v>
      </c>
      <c r="I43" s="2423"/>
      <c r="J43" s="2446">
        <f>B43</f>
        <v>43672</v>
      </c>
      <c r="K43" s="2447">
        <f t="shared" si="14"/>
        <v>43675</v>
      </c>
      <c r="L43" s="2423"/>
      <c r="M43" s="2448"/>
      <c r="N43" s="2423"/>
    </row>
    <row r="44">
      <c r="A44" s="2439" t="s">
        <v>1761</v>
      </c>
      <c r="B44" s="2440">
        <f t="shared" ref="B44:B46" si="15">B43+1</f>
        <v>43673</v>
      </c>
      <c r="C44" s="2441"/>
      <c r="D44" s="2442" t="s">
        <v>1513</v>
      </c>
      <c r="E44" s="2441"/>
      <c r="F44" s="2458" t="s">
        <v>61</v>
      </c>
      <c r="G44" s="2460" t="s">
        <v>61</v>
      </c>
      <c r="H44" s="2461" t="s">
        <v>61</v>
      </c>
      <c r="I44" s="2423"/>
      <c r="J44" s="2462"/>
      <c r="K44" s="2463"/>
      <c r="L44" s="2423"/>
      <c r="M44" s="2448"/>
      <c r="N44" s="2423"/>
    </row>
    <row r="45">
      <c r="A45" s="2464" t="s">
        <v>1761</v>
      </c>
      <c r="B45" s="2465">
        <f t="shared" si="15"/>
        <v>43674</v>
      </c>
      <c r="C45" s="2466"/>
      <c r="D45" s="2467" t="s">
        <v>1762</v>
      </c>
      <c r="E45" s="2466"/>
      <c r="F45" s="2468" t="s">
        <v>61</v>
      </c>
      <c r="G45" s="2469" t="s">
        <v>61</v>
      </c>
      <c r="H45" s="2470" t="s">
        <v>61</v>
      </c>
      <c r="I45" s="2435"/>
      <c r="J45" s="2471"/>
      <c r="K45" s="2472"/>
      <c r="L45" s="2435"/>
      <c r="M45" s="2473"/>
      <c r="N45" s="2435"/>
    </row>
    <row r="46">
      <c r="A46" s="2439" t="s">
        <v>1747</v>
      </c>
      <c r="B46" s="2440">
        <f t="shared" si="15"/>
        <v>43675</v>
      </c>
      <c r="C46" s="2441"/>
      <c r="D46" s="2442" t="s">
        <v>1748</v>
      </c>
      <c r="E46" s="2441"/>
      <c r="F46" s="2458" t="s">
        <v>845</v>
      </c>
      <c r="G46" s="2460" t="s">
        <v>1855</v>
      </c>
      <c r="H46" s="2481" t="s">
        <v>201</v>
      </c>
      <c r="I46" s="2423"/>
      <c r="J46" s="2446">
        <f>B46</f>
        <v>43675</v>
      </c>
      <c r="K46" s="2447">
        <f t="shared" ref="K46:K49" si="16">J46+3</f>
        <v>43678</v>
      </c>
      <c r="L46" s="2423"/>
      <c r="M46" s="2448"/>
      <c r="N46" s="2423"/>
    </row>
    <row r="47">
      <c r="C47" s="2441"/>
      <c r="D47" s="2453" t="s">
        <v>1748</v>
      </c>
      <c r="E47" s="2441"/>
      <c r="F47" s="2458" t="s">
        <v>318</v>
      </c>
      <c r="G47" s="2460" t="s">
        <v>1856</v>
      </c>
      <c r="H47" s="2475" t="s">
        <v>252</v>
      </c>
      <c r="I47" s="2423"/>
      <c r="J47" s="2446">
        <f>B46</f>
        <v>43675</v>
      </c>
      <c r="K47" s="2447">
        <f t="shared" si="16"/>
        <v>43678</v>
      </c>
      <c r="L47" s="2423"/>
      <c r="M47" s="2448"/>
      <c r="N47" s="2423"/>
    </row>
    <row r="48">
      <c r="A48" s="2439" t="s">
        <v>1749</v>
      </c>
      <c r="B48" s="2440">
        <f>B46+1</f>
        <v>43676</v>
      </c>
      <c r="C48" s="2441"/>
      <c r="D48" s="2442" t="s">
        <v>1748</v>
      </c>
      <c r="E48" s="2441"/>
      <c r="F48" s="2458" t="s">
        <v>631</v>
      </c>
      <c r="G48" s="2483" t="s">
        <v>1857</v>
      </c>
      <c r="H48" s="633" t="s">
        <v>260</v>
      </c>
      <c r="I48" s="2423"/>
      <c r="J48" s="2446">
        <f t="shared" ref="J48:J50" si="17">B48</f>
        <v>43676</v>
      </c>
      <c r="K48" s="2447">
        <f t="shared" si="16"/>
        <v>43679</v>
      </c>
      <c r="L48" s="2423"/>
      <c r="M48" s="2448"/>
      <c r="N48" s="2423"/>
    </row>
    <row r="49">
      <c r="A49" s="2439" t="s">
        <v>1751</v>
      </c>
      <c r="B49" s="2440">
        <f t="shared" ref="B49:B50" si="18">B48+1</f>
        <v>43677</v>
      </c>
      <c r="C49" s="2441"/>
      <c r="D49" s="2442" t="s">
        <v>1748</v>
      </c>
      <c r="E49" s="2441"/>
      <c r="F49" s="2458" t="s">
        <v>319</v>
      </c>
      <c r="G49" s="2460" t="s">
        <v>1858</v>
      </c>
      <c r="H49" s="633" t="s">
        <v>260</v>
      </c>
      <c r="I49" s="2423"/>
      <c r="J49" s="2446">
        <f t="shared" si="17"/>
        <v>43677</v>
      </c>
      <c r="K49" s="2447">
        <f t="shared" si="16"/>
        <v>43680</v>
      </c>
      <c r="L49" s="2423"/>
      <c r="M49" s="2448"/>
      <c r="N49" s="2423"/>
    </row>
    <row r="50">
      <c r="A50" s="2439" t="s">
        <v>1749</v>
      </c>
      <c r="B50" s="2440">
        <f t="shared" si="18"/>
        <v>43678</v>
      </c>
      <c r="C50" s="2441"/>
      <c r="D50" s="2442" t="s">
        <v>1755</v>
      </c>
      <c r="E50" s="2441"/>
      <c r="F50" s="2484" t="s">
        <v>1859</v>
      </c>
      <c r="G50" s="2459" t="s">
        <v>1860</v>
      </c>
      <c r="H50" s="2478" t="s">
        <v>61</v>
      </c>
      <c r="I50" s="2423"/>
      <c r="J50" s="2446">
        <f t="shared" si="17"/>
        <v>43678</v>
      </c>
      <c r="K50" s="2447">
        <f>J50+7</f>
        <v>43685</v>
      </c>
      <c r="L50" s="2423"/>
      <c r="M50" s="2448"/>
      <c r="N50" s="2423"/>
    </row>
    <row r="51">
      <c r="C51" s="2441"/>
      <c r="D51" s="2442" t="s">
        <v>1748</v>
      </c>
      <c r="E51" s="2441"/>
      <c r="F51" s="2458" t="s">
        <v>321</v>
      </c>
      <c r="G51" s="2460" t="s">
        <v>1861</v>
      </c>
      <c r="H51" s="2480" t="s">
        <v>182</v>
      </c>
      <c r="I51" s="2423"/>
      <c r="J51" s="2446">
        <f>B50</f>
        <v>43678</v>
      </c>
      <c r="K51" s="2447">
        <f t="shared" ref="K51:K52" si="19">J51+3</f>
        <v>43681</v>
      </c>
      <c r="L51" s="2423"/>
      <c r="M51" s="2448"/>
      <c r="N51" s="2423"/>
    </row>
    <row r="52">
      <c r="A52" s="2439" t="s">
        <v>1758</v>
      </c>
      <c r="B52" s="2440">
        <f>B50+1</f>
        <v>43679</v>
      </c>
      <c r="C52" s="2441"/>
      <c r="D52" s="2442" t="s">
        <v>1759</v>
      </c>
      <c r="E52" s="2441"/>
      <c r="F52" s="2458" t="s">
        <v>972</v>
      </c>
      <c r="G52" s="2460" t="s">
        <v>1862</v>
      </c>
      <c r="H52" s="2480" t="s">
        <v>102</v>
      </c>
      <c r="I52" s="2423"/>
      <c r="J52" s="2446">
        <f>B52</f>
        <v>43679</v>
      </c>
      <c r="K52" s="2447">
        <f t="shared" si="19"/>
        <v>43682</v>
      </c>
      <c r="L52" s="2423"/>
      <c r="M52" s="2448"/>
      <c r="N52" s="2423"/>
    </row>
    <row r="53">
      <c r="A53" s="2439" t="s">
        <v>1761</v>
      </c>
      <c r="B53" s="2440">
        <f t="shared" ref="B53:B58" si="20">B52+1</f>
        <v>43680</v>
      </c>
      <c r="C53" s="2441"/>
      <c r="D53" s="2442" t="s">
        <v>1513</v>
      </c>
      <c r="E53" s="2441"/>
      <c r="F53" s="2458" t="s">
        <v>61</v>
      </c>
      <c r="G53" s="2460" t="s">
        <v>61</v>
      </c>
      <c r="H53" s="2461" t="s">
        <v>61</v>
      </c>
      <c r="I53" s="2423"/>
      <c r="J53" s="2462"/>
      <c r="K53" s="2463"/>
      <c r="L53" s="2423"/>
      <c r="M53" s="2448"/>
      <c r="N53" s="2423"/>
    </row>
    <row r="54">
      <c r="A54" s="2464" t="s">
        <v>1761</v>
      </c>
      <c r="B54" s="2465">
        <f t="shared" si="20"/>
        <v>43681</v>
      </c>
      <c r="C54" s="2466"/>
      <c r="D54" s="2467" t="s">
        <v>1762</v>
      </c>
      <c r="E54" s="2466"/>
      <c r="F54" s="2468" t="s">
        <v>61</v>
      </c>
      <c r="G54" s="2469" t="s">
        <v>61</v>
      </c>
      <c r="H54" s="2470" t="s">
        <v>61</v>
      </c>
      <c r="I54" s="2435"/>
      <c r="J54" s="2471"/>
      <c r="K54" s="2472"/>
      <c r="L54" s="2435"/>
      <c r="M54" s="2473"/>
      <c r="N54" s="2435"/>
    </row>
    <row r="55">
      <c r="A55" s="2439" t="s">
        <v>1747</v>
      </c>
      <c r="B55" s="2440">
        <f t="shared" si="20"/>
        <v>43682</v>
      </c>
      <c r="C55" s="2441"/>
      <c r="D55" s="2442" t="s">
        <v>1748</v>
      </c>
      <c r="E55" s="2441"/>
      <c r="F55" s="2458" t="s">
        <v>846</v>
      </c>
      <c r="G55" s="2460" t="s">
        <v>1863</v>
      </c>
      <c r="H55" s="2445" t="s">
        <v>294</v>
      </c>
      <c r="I55" s="2423"/>
      <c r="J55" s="2446">
        <f t="shared" ref="J55:J58" si="21">B55</f>
        <v>43682</v>
      </c>
      <c r="K55" s="2447">
        <f t="shared" ref="K55:K57" si="22">J55+3</f>
        <v>43685</v>
      </c>
      <c r="L55" s="2423"/>
      <c r="M55" s="2448"/>
      <c r="N55" s="2423"/>
    </row>
    <row r="56">
      <c r="A56" s="2439" t="s">
        <v>1749</v>
      </c>
      <c r="B56" s="2440">
        <f t="shared" si="20"/>
        <v>43683</v>
      </c>
      <c r="C56" s="2441"/>
      <c r="D56" s="2442" t="s">
        <v>1748</v>
      </c>
      <c r="E56" s="2441"/>
      <c r="F56" s="2458" t="s">
        <v>323</v>
      </c>
      <c r="G56" s="2460" t="s">
        <v>1864</v>
      </c>
      <c r="H56" s="633" t="s">
        <v>260</v>
      </c>
      <c r="I56" s="2423"/>
      <c r="J56" s="2446">
        <f t="shared" si="21"/>
        <v>43683</v>
      </c>
      <c r="K56" s="2447">
        <f t="shared" si="22"/>
        <v>43686</v>
      </c>
      <c r="L56" s="2423"/>
      <c r="M56" s="2448"/>
      <c r="N56" s="2423"/>
    </row>
    <row r="57">
      <c r="A57" s="2439" t="s">
        <v>1751</v>
      </c>
      <c r="B57" s="2440">
        <f t="shared" si="20"/>
        <v>43684</v>
      </c>
      <c r="C57" s="2441"/>
      <c r="D57" s="2442" t="s">
        <v>1748</v>
      </c>
      <c r="E57" s="2441"/>
      <c r="F57" s="2458" t="s">
        <v>324</v>
      </c>
      <c r="G57" s="2460" t="s">
        <v>1865</v>
      </c>
      <c r="H57" s="2482" t="s">
        <v>102</v>
      </c>
      <c r="I57" s="2423"/>
      <c r="J57" s="2446">
        <f t="shared" si="21"/>
        <v>43684</v>
      </c>
      <c r="K57" s="2447">
        <f t="shared" si="22"/>
        <v>43687</v>
      </c>
      <c r="L57" s="2423"/>
      <c r="M57" s="2448"/>
      <c r="N57" s="2423"/>
    </row>
    <row r="58">
      <c r="A58" s="2439" t="s">
        <v>1749</v>
      </c>
      <c r="B58" s="2440">
        <f t="shared" si="20"/>
        <v>43685</v>
      </c>
      <c r="C58" s="2441"/>
      <c r="D58" s="2442" t="s">
        <v>1755</v>
      </c>
      <c r="E58" s="2441"/>
      <c r="F58" s="2484" t="s">
        <v>1866</v>
      </c>
      <c r="G58" s="2459" t="s">
        <v>1867</v>
      </c>
      <c r="H58" s="2478" t="s">
        <v>61</v>
      </c>
      <c r="I58" s="2423"/>
      <c r="J58" s="2446">
        <f t="shared" si="21"/>
        <v>43685</v>
      </c>
      <c r="K58" s="2447">
        <f>J58+7</f>
        <v>43692</v>
      </c>
      <c r="L58" s="2423"/>
      <c r="M58" s="2448"/>
      <c r="N58" s="2423"/>
    </row>
    <row r="59">
      <c r="C59" s="2441"/>
      <c r="D59" s="2442" t="s">
        <v>1748</v>
      </c>
      <c r="E59" s="2441"/>
      <c r="F59" s="2458" t="s">
        <v>847</v>
      </c>
      <c r="G59" s="2460" t="s">
        <v>1868</v>
      </c>
      <c r="H59" s="2445" t="s">
        <v>282</v>
      </c>
      <c r="I59" s="2423"/>
      <c r="J59" s="2446">
        <f>B58</f>
        <v>43685</v>
      </c>
      <c r="K59" s="2447">
        <f t="shared" ref="K59:K60" si="23">J59+3</f>
        <v>43688</v>
      </c>
      <c r="L59" s="2423"/>
      <c r="M59" s="2448"/>
      <c r="N59" s="2423"/>
    </row>
    <row r="60">
      <c r="A60" s="2439" t="s">
        <v>1758</v>
      </c>
      <c r="B60" s="2440">
        <f>B58+1</f>
        <v>43686</v>
      </c>
      <c r="C60" s="2441"/>
      <c r="D60" s="2442" t="s">
        <v>1759</v>
      </c>
      <c r="E60" s="2441"/>
      <c r="F60" s="2458" t="s">
        <v>973</v>
      </c>
      <c r="G60" s="2460" t="s">
        <v>1869</v>
      </c>
      <c r="H60" s="2445" t="s">
        <v>16</v>
      </c>
      <c r="I60" s="2423"/>
      <c r="J60" s="2446">
        <f>B60</f>
        <v>43686</v>
      </c>
      <c r="K60" s="2447">
        <f t="shared" si="23"/>
        <v>43689</v>
      </c>
      <c r="L60" s="2423"/>
      <c r="M60" s="2448"/>
      <c r="N60" s="2423"/>
    </row>
    <row r="61">
      <c r="A61" s="2439" t="s">
        <v>1761</v>
      </c>
      <c r="B61" s="2440">
        <f t="shared" ref="B61:B66" si="24">B60+1</f>
        <v>43687</v>
      </c>
      <c r="C61" s="2441"/>
      <c r="D61" s="2442" t="s">
        <v>1513</v>
      </c>
      <c r="E61" s="2441"/>
      <c r="F61" s="2458" t="s">
        <v>61</v>
      </c>
      <c r="G61" s="2460" t="s">
        <v>61</v>
      </c>
      <c r="H61" s="2461" t="s">
        <v>61</v>
      </c>
      <c r="I61" s="2423"/>
      <c r="J61" s="2462"/>
      <c r="K61" s="2463"/>
      <c r="L61" s="2423"/>
      <c r="M61" s="2448"/>
      <c r="N61" s="2423"/>
    </row>
    <row r="62">
      <c r="A62" s="2464" t="s">
        <v>1761</v>
      </c>
      <c r="B62" s="2465">
        <f t="shared" si="24"/>
        <v>43688</v>
      </c>
      <c r="C62" s="2466"/>
      <c r="D62" s="2467" t="s">
        <v>1762</v>
      </c>
      <c r="E62" s="2466"/>
      <c r="F62" s="2468" t="s">
        <v>61</v>
      </c>
      <c r="G62" s="2469" t="s">
        <v>61</v>
      </c>
      <c r="H62" s="2470" t="s">
        <v>61</v>
      </c>
      <c r="I62" s="2435"/>
      <c r="J62" s="2471"/>
      <c r="K62" s="2472"/>
      <c r="L62" s="2435"/>
      <c r="M62" s="2473"/>
      <c r="N62" s="2435"/>
    </row>
    <row r="63">
      <c r="A63" s="2439" t="s">
        <v>1747</v>
      </c>
      <c r="B63" s="2440">
        <f t="shared" si="24"/>
        <v>43689</v>
      </c>
      <c r="C63" s="2441"/>
      <c r="D63" s="2442" t="s">
        <v>1748</v>
      </c>
      <c r="E63" s="2441"/>
      <c r="F63" s="2458" t="s">
        <v>848</v>
      </c>
      <c r="G63" s="2460" t="s">
        <v>1870</v>
      </c>
      <c r="H63" s="2445" t="s">
        <v>136</v>
      </c>
      <c r="I63" s="2423"/>
      <c r="J63" s="2446">
        <f t="shared" ref="J63:J66" si="25">B63</f>
        <v>43689</v>
      </c>
      <c r="K63" s="2447">
        <f t="shared" ref="K63:K65" si="26">J63+3</f>
        <v>43692</v>
      </c>
      <c r="L63" s="2423"/>
      <c r="M63" s="2448"/>
      <c r="N63" s="2423"/>
    </row>
    <row r="64">
      <c r="A64" s="2439" t="s">
        <v>1749</v>
      </c>
      <c r="B64" s="2440">
        <f t="shared" si="24"/>
        <v>43690</v>
      </c>
      <c r="C64" s="2441"/>
      <c r="D64" s="2442" t="s">
        <v>1748</v>
      </c>
      <c r="E64" s="2441"/>
      <c r="F64" s="2458" t="s">
        <v>325</v>
      </c>
      <c r="G64" s="2460" t="s">
        <v>1871</v>
      </c>
      <c r="H64" s="2482" t="s">
        <v>326</v>
      </c>
      <c r="I64" s="2423"/>
      <c r="J64" s="2446">
        <f t="shared" si="25"/>
        <v>43690</v>
      </c>
      <c r="K64" s="2447">
        <f t="shared" si="26"/>
        <v>43693</v>
      </c>
      <c r="L64" s="2423"/>
      <c r="M64" s="2485" t="s">
        <v>1872</v>
      </c>
      <c r="N64" s="2423"/>
    </row>
    <row r="65">
      <c r="A65" s="2439" t="s">
        <v>1751</v>
      </c>
      <c r="B65" s="2440">
        <f t="shared" si="24"/>
        <v>43691</v>
      </c>
      <c r="C65" s="2441"/>
      <c r="D65" s="2442" t="s">
        <v>1748</v>
      </c>
      <c r="E65" s="2441"/>
      <c r="F65" s="2458" t="s">
        <v>1873</v>
      </c>
      <c r="G65" s="2460" t="s">
        <v>1874</v>
      </c>
      <c r="H65" s="2445" t="s">
        <v>16</v>
      </c>
      <c r="I65" s="2423"/>
      <c r="J65" s="2446">
        <f t="shared" si="25"/>
        <v>43691</v>
      </c>
      <c r="K65" s="2447">
        <f t="shared" si="26"/>
        <v>43694</v>
      </c>
      <c r="L65" s="2423"/>
      <c r="M65" s="2448"/>
      <c r="N65" s="2423"/>
    </row>
    <row r="66">
      <c r="A66" s="2439" t="s">
        <v>1749</v>
      </c>
      <c r="B66" s="2440">
        <f t="shared" si="24"/>
        <v>43692</v>
      </c>
      <c r="C66" s="2441"/>
      <c r="D66" s="2442" t="s">
        <v>1755</v>
      </c>
      <c r="E66" s="2441"/>
      <c r="F66" s="2484" t="s">
        <v>1875</v>
      </c>
      <c r="G66" s="2459" t="s">
        <v>1876</v>
      </c>
      <c r="H66" s="2478" t="s">
        <v>61</v>
      </c>
      <c r="I66" s="2423"/>
      <c r="J66" s="2446">
        <f t="shared" si="25"/>
        <v>43692</v>
      </c>
      <c r="K66" s="2447">
        <f>J66+7</f>
        <v>43699</v>
      </c>
      <c r="L66" s="2423"/>
      <c r="M66" s="2448"/>
      <c r="N66" s="2423"/>
    </row>
    <row r="67">
      <c r="C67" s="2441"/>
      <c r="D67" s="2442" t="s">
        <v>1748</v>
      </c>
      <c r="E67" s="2441"/>
      <c r="F67" s="2458" t="s">
        <v>329</v>
      </c>
      <c r="G67" s="2460" t="s">
        <v>1877</v>
      </c>
      <c r="H67" s="633" t="s">
        <v>260</v>
      </c>
      <c r="I67" s="2423"/>
      <c r="J67" s="2446">
        <f>B66</f>
        <v>43692</v>
      </c>
      <c r="K67" s="2447">
        <f t="shared" ref="K67:K69" si="27">J67+3</f>
        <v>43695</v>
      </c>
      <c r="L67" s="2423"/>
      <c r="M67" s="2448"/>
      <c r="N67" s="2423"/>
    </row>
    <row r="68">
      <c r="C68" s="2441"/>
      <c r="D68" s="2453" t="s">
        <v>1748</v>
      </c>
      <c r="E68" s="2441"/>
      <c r="F68" s="2458" t="s">
        <v>849</v>
      </c>
      <c r="G68" s="2460" t="s">
        <v>1878</v>
      </c>
      <c r="H68" s="2445" t="s">
        <v>282</v>
      </c>
      <c r="I68" s="2423"/>
      <c r="J68" s="2446">
        <f>B66</f>
        <v>43692</v>
      </c>
      <c r="K68" s="2447">
        <f t="shared" si="27"/>
        <v>43695</v>
      </c>
      <c r="L68" s="2423"/>
      <c r="M68" s="2485" t="s">
        <v>1872</v>
      </c>
      <c r="N68" s="2423"/>
    </row>
    <row r="69">
      <c r="A69" s="2439" t="s">
        <v>1758</v>
      </c>
      <c r="B69" s="2440">
        <f>B66+1</f>
        <v>43693</v>
      </c>
      <c r="C69" s="2441"/>
      <c r="D69" s="2442" t="s">
        <v>1759</v>
      </c>
      <c r="E69" s="2441"/>
      <c r="F69" s="2458" t="s">
        <v>974</v>
      </c>
      <c r="G69" s="2460" t="s">
        <v>1879</v>
      </c>
      <c r="H69" s="2477" t="s">
        <v>176</v>
      </c>
      <c r="I69" s="2423"/>
      <c r="J69" s="2446">
        <f>B69</f>
        <v>43693</v>
      </c>
      <c r="K69" s="2447">
        <f t="shared" si="27"/>
        <v>43696</v>
      </c>
      <c r="L69" s="2423"/>
      <c r="M69" s="2448"/>
      <c r="N69" s="2423"/>
    </row>
    <row r="70">
      <c r="A70" s="2439" t="s">
        <v>1761</v>
      </c>
      <c r="B70" s="2440">
        <f t="shared" ref="B70:B75" si="28">B69+1</f>
        <v>43694</v>
      </c>
      <c r="C70" s="2441"/>
      <c r="D70" s="2442" t="s">
        <v>1513</v>
      </c>
      <c r="E70" s="2441"/>
      <c r="F70" s="2458" t="s">
        <v>61</v>
      </c>
      <c r="G70" s="2460" t="s">
        <v>61</v>
      </c>
      <c r="H70" s="2461" t="s">
        <v>61</v>
      </c>
      <c r="I70" s="2423"/>
      <c r="J70" s="2462"/>
      <c r="K70" s="2463"/>
      <c r="L70" s="2423"/>
      <c r="M70" s="2448"/>
      <c r="N70" s="2423"/>
    </row>
    <row r="71">
      <c r="A71" s="2464" t="s">
        <v>1761</v>
      </c>
      <c r="B71" s="2465">
        <f t="shared" si="28"/>
        <v>43695</v>
      </c>
      <c r="C71" s="2466"/>
      <c r="D71" s="2467" t="s">
        <v>1762</v>
      </c>
      <c r="E71" s="2466"/>
      <c r="F71" s="2468" t="s">
        <v>61</v>
      </c>
      <c r="G71" s="2469" t="s">
        <v>61</v>
      </c>
      <c r="H71" s="2470" t="s">
        <v>61</v>
      </c>
      <c r="I71" s="2435"/>
      <c r="J71" s="2471"/>
      <c r="K71" s="2472"/>
      <c r="L71" s="2435"/>
      <c r="M71" s="2473"/>
      <c r="N71" s="2435"/>
    </row>
    <row r="72">
      <c r="A72" s="2439" t="s">
        <v>1747</v>
      </c>
      <c r="B72" s="2440">
        <f t="shared" si="28"/>
        <v>43696</v>
      </c>
      <c r="C72" s="2441"/>
      <c r="D72" s="2442" t="s">
        <v>1748</v>
      </c>
      <c r="E72" s="2441"/>
      <c r="F72" s="2458" t="s">
        <v>850</v>
      </c>
      <c r="G72" s="2460" t="s">
        <v>1880</v>
      </c>
      <c r="H72" s="2445" t="s">
        <v>294</v>
      </c>
      <c r="I72" s="2423"/>
      <c r="J72" s="2446">
        <f t="shared" ref="J72:J75" si="29">B72</f>
        <v>43696</v>
      </c>
      <c r="K72" s="2447">
        <f t="shared" ref="K72:K74" si="30">J72+3</f>
        <v>43699</v>
      </c>
      <c r="L72" s="2423"/>
      <c r="M72" s="2448"/>
      <c r="N72" s="2423"/>
    </row>
    <row r="73">
      <c r="A73" s="2439" t="s">
        <v>1749</v>
      </c>
      <c r="B73" s="2440">
        <f t="shared" si="28"/>
        <v>43697</v>
      </c>
      <c r="C73" s="2441"/>
      <c r="D73" s="2442" t="s">
        <v>1748</v>
      </c>
      <c r="E73" s="2441"/>
      <c r="F73" s="2458" t="s">
        <v>330</v>
      </c>
      <c r="G73" s="2460" t="s">
        <v>1881</v>
      </c>
      <c r="H73" s="633" t="s">
        <v>260</v>
      </c>
      <c r="I73" s="2423"/>
      <c r="J73" s="2446">
        <f t="shared" si="29"/>
        <v>43697</v>
      </c>
      <c r="K73" s="2447">
        <f t="shared" si="30"/>
        <v>43700</v>
      </c>
      <c r="L73" s="2423"/>
      <c r="M73" s="2448"/>
      <c r="N73" s="2423"/>
    </row>
    <row r="74">
      <c r="A74" s="2439" t="s">
        <v>1751</v>
      </c>
      <c r="B74" s="2440">
        <f t="shared" si="28"/>
        <v>43698</v>
      </c>
      <c r="C74" s="2441"/>
      <c r="D74" s="2442" t="s">
        <v>1748</v>
      </c>
      <c r="E74" s="2441"/>
      <c r="F74" s="2458" t="s">
        <v>851</v>
      </c>
      <c r="G74" s="2460" t="s">
        <v>1882</v>
      </c>
      <c r="H74" s="2480" t="s">
        <v>197</v>
      </c>
      <c r="I74" s="2423"/>
      <c r="J74" s="2446">
        <f t="shared" si="29"/>
        <v>43698</v>
      </c>
      <c r="K74" s="2447">
        <f t="shared" si="30"/>
        <v>43701</v>
      </c>
      <c r="L74" s="2423"/>
      <c r="M74" s="2485" t="s">
        <v>1872</v>
      </c>
      <c r="N74" s="2423"/>
    </row>
    <row r="75">
      <c r="A75" s="2439" t="s">
        <v>1749</v>
      </c>
      <c r="B75" s="2440">
        <f t="shared" si="28"/>
        <v>43699</v>
      </c>
      <c r="C75" s="2441"/>
      <c r="D75" s="2442" t="s">
        <v>1755</v>
      </c>
      <c r="E75" s="2441"/>
      <c r="F75" s="2484" t="s">
        <v>1883</v>
      </c>
      <c r="G75" s="2459" t="s">
        <v>1884</v>
      </c>
      <c r="H75" s="2478" t="s">
        <v>61</v>
      </c>
      <c r="I75" s="2423"/>
      <c r="J75" s="2446">
        <f t="shared" si="29"/>
        <v>43699</v>
      </c>
      <c r="K75" s="2447">
        <f>J75+7</f>
        <v>43706</v>
      </c>
      <c r="L75" s="2423"/>
      <c r="M75" s="2486"/>
      <c r="N75" s="2423"/>
    </row>
    <row r="76">
      <c r="C76" s="2441"/>
      <c r="D76" s="2442" t="s">
        <v>1748</v>
      </c>
      <c r="E76" s="2441"/>
      <c r="F76" s="2458" t="s">
        <v>331</v>
      </c>
      <c r="G76" s="2460" t="s">
        <v>1885</v>
      </c>
      <c r="H76" s="2477" t="s">
        <v>176</v>
      </c>
      <c r="I76" s="2423"/>
      <c r="J76" s="2446">
        <f>B75</f>
        <v>43699</v>
      </c>
      <c r="K76" s="2447">
        <f t="shared" ref="K76:K77" si="31">J76+3</f>
        <v>43702</v>
      </c>
      <c r="L76" s="2423"/>
      <c r="M76" s="2448"/>
      <c r="N76" s="2423"/>
    </row>
    <row r="77">
      <c r="A77" s="2439" t="s">
        <v>1758</v>
      </c>
      <c r="B77" s="2440">
        <f>B75+1</f>
        <v>43700</v>
      </c>
      <c r="C77" s="2441"/>
      <c r="D77" s="2442" t="s">
        <v>1759</v>
      </c>
      <c r="E77" s="2441"/>
      <c r="F77" s="2458" t="s">
        <v>975</v>
      </c>
      <c r="G77" s="2460" t="s">
        <v>1886</v>
      </c>
      <c r="H77" s="633" t="s">
        <v>306</v>
      </c>
      <c r="I77" s="2423"/>
      <c r="J77" s="2446">
        <f>B77</f>
        <v>43700</v>
      </c>
      <c r="K77" s="2447">
        <f t="shared" si="31"/>
        <v>43703</v>
      </c>
      <c r="L77" s="2423"/>
      <c r="M77" s="2448"/>
      <c r="N77" s="2423"/>
    </row>
    <row r="78">
      <c r="A78" s="2439" t="s">
        <v>1761</v>
      </c>
      <c r="B78" s="2440">
        <f t="shared" ref="B78:B80" si="32">B77+1</f>
        <v>43701</v>
      </c>
      <c r="C78" s="2441"/>
      <c r="D78" s="2442" t="s">
        <v>1513</v>
      </c>
      <c r="E78" s="2441"/>
      <c r="F78" s="2458" t="s">
        <v>61</v>
      </c>
      <c r="G78" s="2460" t="s">
        <v>61</v>
      </c>
      <c r="H78" s="2461" t="s">
        <v>61</v>
      </c>
      <c r="I78" s="2423"/>
      <c r="J78" s="2462"/>
      <c r="K78" s="2463"/>
      <c r="L78" s="2423"/>
      <c r="M78" s="2448"/>
      <c r="N78" s="2423"/>
    </row>
    <row r="79">
      <c r="A79" s="2464" t="s">
        <v>1761</v>
      </c>
      <c r="B79" s="2465">
        <f t="shared" si="32"/>
        <v>43702</v>
      </c>
      <c r="C79" s="2466"/>
      <c r="D79" s="2467" t="s">
        <v>1762</v>
      </c>
      <c r="E79" s="2466"/>
      <c r="F79" s="2468" t="s">
        <v>61</v>
      </c>
      <c r="G79" s="2469" t="s">
        <v>61</v>
      </c>
      <c r="H79" s="2470" t="s">
        <v>61</v>
      </c>
      <c r="I79" s="2435"/>
      <c r="J79" s="2471"/>
      <c r="K79" s="2472"/>
      <c r="L79" s="2435"/>
      <c r="M79" s="2473"/>
      <c r="N79" s="2435"/>
    </row>
    <row r="80">
      <c r="A80" s="2439" t="s">
        <v>1747</v>
      </c>
      <c r="B80" s="2440">
        <f t="shared" si="32"/>
        <v>43703</v>
      </c>
      <c r="C80" s="2441"/>
      <c r="D80" s="2442" t="s">
        <v>1748</v>
      </c>
      <c r="E80" s="2441"/>
      <c r="F80" s="2458" t="s">
        <v>852</v>
      </c>
      <c r="G80" s="2460" t="s">
        <v>1887</v>
      </c>
      <c r="H80" s="2445" t="s">
        <v>16</v>
      </c>
      <c r="I80" s="2423"/>
      <c r="J80" s="2446">
        <f>B80</f>
        <v>43703</v>
      </c>
      <c r="K80" s="2447">
        <f t="shared" ref="K80:K83" si="33">J80+3</f>
        <v>43706</v>
      </c>
      <c r="L80" s="2423"/>
      <c r="M80" s="2448"/>
      <c r="N80" s="2423"/>
    </row>
    <row r="81">
      <c r="C81" s="2441"/>
      <c r="D81" s="2453" t="s">
        <v>1748</v>
      </c>
      <c r="E81" s="2441"/>
      <c r="F81" s="2458" t="s">
        <v>332</v>
      </c>
      <c r="G81" s="2460" t="s">
        <v>1888</v>
      </c>
      <c r="H81" s="2487" t="s">
        <v>25</v>
      </c>
      <c r="I81" s="2423"/>
      <c r="J81" s="2446">
        <f>B80</f>
        <v>43703</v>
      </c>
      <c r="K81" s="2447">
        <f t="shared" si="33"/>
        <v>43706</v>
      </c>
      <c r="L81" s="2423"/>
      <c r="M81" s="2448"/>
      <c r="N81" s="2423"/>
    </row>
    <row r="82">
      <c r="A82" s="2439" t="s">
        <v>1749</v>
      </c>
      <c r="B82" s="2440">
        <f>B80+1</f>
        <v>43704</v>
      </c>
      <c r="C82" s="2441"/>
      <c r="D82" s="2442" t="s">
        <v>1748</v>
      </c>
      <c r="E82" s="2441"/>
      <c r="F82" s="2458" t="s">
        <v>334</v>
      </c>
      <c r="G82" s="2460" t="s">
        <v>1889</v>
      </c>
      <c r="H82" s="2445" t="s">
        <v>111</v>
      </c>
      <c r="I82" s="2423"/>
      <c r="J82" s="2446">
        <f t="shared" ref="J82:J84" si="34">B82</f>
        <v>43704</v>
      </c>
      <c r="K82" s="2447">
        <f t="shared" si="33"/>
        <v>43707</v>
      </c>
      <c r="L82" s="2423"/>
      <c r="M82" s="2448"/>
      <c r="N82" s="2423"/>
    </row>
    <row r="83">
      <c r="A83" s="2439" t="s">
        <v>1751</v>
      </c>
      <c r="B83" s="2440">
        <f t="shared" ref="B83:B84" si="35">B82+1</f>
        <v>43705</v>
      </c>
      <c r="C83" s="2441"/>
      <c r="D83" s="2442" t="s">
        <v>1748</v>
      </c>
      <c r="E83" s="2441"/>
      <c r="F83" s="2458" t="s">
        <v>632</v>
      </c>
      <c r="G83" s="2460" t="s">
        <v>1890</v>
      </c>
      <c r="H83" s="2449" t="s">
        <v>101</v>
      </c>
      <c r="I83" s="2423"/>
      <c r="J83" s="2446">
        <f t="shared" si="34"/>
        <v>43705</v>
      </c>
      <c r="K83" s="2447">
        <f t="shared" si="33"/>
        <v>43708</v>
      </c>
      <c r="L83" s="2423"/>
      <c r="M83" s="2448"/>
      <c r="N83" s="2423"/>
    </row>
    <row r="84">
      <c r="A84" s="2439" t="s">
        <v>1749</v>
      </c>
      <c r="B84" s="2440">
        <f t="shared" si="35"/>
        <v>43706</v>
      </c>
      <c r="C84" s="2441"/>
      <c r="D84" s="2442" t="s">
        <v>1755</v>
      </c>
      <c r="E84" s="2441"/>
      <c r="F84" s="2458" t="s">
        <v>1891</v>
      </c>
      <c r="G84" s="2460" t="s">
        <v>1892</v>
      </c>
      <c r="H84" s="2478" t="s">
        <v>61</v>
      </c>
      <c r="I84" s="2423"/>
      <c r="J84" s="2446">
        <f t="shared" si="34"/>
        <v>43706</v>
      </c>
      <c r="K84" s="2447">
        <f>J84+7</f>
        <v>43713</v>
      </c>
      <c r="L84" s="2423"/>
      <c r="M84" s="2448"/>
      <c r="N84" s="2423"/>
    </row>
    <row r="85">
      <c r="C85" s="2441"/>
      <c r="D85" s="2442" t="s">
        <v>1748</v>
      </c>
      <c r="E85" s="2441"/>
      <c r="F85" s="2458" t="s">
        <v>634</v>
      </c>
      <c r="G85" s="2460" t="s">
        <v>1893</v>
      </c>
      <c r="H85" s="633" t="s">
        <v>260</v>
      </c>
      <c r="I85" s="2423"/>
      <c r="J85" s="2446">
        <f>B84</f>
        <v>43706</v>
      </c>
      <c r="K85" s="2447">
        <f t="shared" ref="K85:K86" si="36">J85+3</f>
        <v>43709</v>
      </c>
      <c r="L85" s="2423"/>
      <c r="M85" s="2448"/>
      <c r="N85" s="2423"/>
    </row>
    <row r="86">
      <c r="A86" s="2439" t="s">
        <v>1758</v>
      </c>
      <c r="B86" s="2440">
        <f>B84+1</f>
        <v>43707</v>
      </c>
      <c r="C86" s="2441"/>
      <c r="D86" s="2442" t="s">
        <v>1759</v>
      </c>
      <c r="E86" s="2441"/>
      <c r="F86" s="2458" t="s">
        <v>976</v>
      </c>
      <c r="G86" s="2460" t="s">
        <v>1894</v>
      </c>
      <c r="H86" s="2475" t="s">
        <v>206</v>
      </c>
      <c r="I86" s="2423"/>
      <c r="J86" s="2446">
        <f>B86</f>
        <v>43707</v>
      </c>
      <c r="K86" s="2447">
        <f t="shared" si="36"/>
        <v>43710</v>
      </c>
      <c r="L86" s="2423"/>
      <c r="M86" s="2448"/>
      <c r="N86" s="2423"/>
    </row>
    <row r="87">
      <c r="A87" s="2439" t="s">
        <v>1761</v>
      </c>
      <c r="B87" s="2440">
        <f t="shared" ref="B87:B89" si="37">B86+1</f>
        <v>43708</v>
      </c>
      <c r="C87" s="2441"/>
      <c r="D87" s="2442" t="s">
        <v>1513</v>
      </c>
      <c r="E87" s="2441"/>
      <c r="F87" s="2458" t="s">
        <v>61</v>
      </c>
      <c r="G87" s="2460" t="s">
        <v>61</v>
      </c>
      <c r="H87" s="2461" t="s">
        <v>61</v>
      </c>
      <c r="I87" s="2423"/>
      <c r="J87" s="2462"/>
      <c r="K87" s="2463"/>
      <c r="L87" s="2423"/>
      <c r="M87" s="2448"/>
      <c r="N87" s="2423"/>
    </row>
    <row r="88">
      <c r="A88" s="2464" t="s">
        <v>1761</v>
      </c>
      <c r="B88" s="2465">
        <f t="shared" si="37"/>
        <v>43709</v>
      </c>
      <c r="C88" s="2466"/>
      <c r="D88" s="2467" t="s">
        <v>1762</v>
      </c>
      <c r="E88" s="2466"/>
      <c r="F88" s="2468" t="s">
        <v>61</v>
      </c>
      <c r="G88" s="2469" t="s">
        <v>61</v>
      </c>
      <c r="H88" s="2470" t="s">
        <v>61</v>
      </c>
      <c r="I88" s="2435"/>
      <c r="J88" s="2471"/>
      <c r="K88" s="2472"/>
      <c r="L88" s="2435"/>
      <c r="M88" s="2473"/>
      <c r="N88" s="2435"/>
    </row>
    <row r="89">
      <c r="A89" s="2439" t="s">
        <v>1747</v>
      </c>
      <c r="B89" s="2440">
        <f t="shared" si="37"/>
        <v>43710</v>
      </c>
      <c r="C89" s="2441"/>
      <c r="D89" s="2442" t="s">
        <v>1748</v>
      </c>
      <c r="E89" s="2441"/>
      <c r="F89" s="2458" t="s">
        <v>635</v>
      </c>
      <c r="G89" s="2460" t="s">
        <v>1895</v>
      </c>
      <c r="H89" s="2445" t="s">
        <v>16</v>
      </c>
      <c r="I89" s="2423"/>
      <c r="J89" s="2446">
        <f>B89</f>
        <v>43710</v>
      </c>
      <c r="K89" s="2447">
        <f t="shared" ref="K89:K93" si="38">J89+3</f>
        <v>43713</v>
      </c>
      <c r="L89" s="2423"/>
      <c r="M89" s="2448"/>
      <c r="N89" s="2423"/>
    </row>
    <row r="90">
      <c r="C90" s="2441"/>
      <c r="D90" s="2453" t="s">
        <v>1748</v>
      </c>
      <c r="E90" s="2441"/>
      <c r="F90" s="2458" t="s">
        <v>853</v>
      </c>
      <c r="G90" s="2460" t="s">
        <v>1896</v>
      </c>
      <c r="H90" s="2480" t="s">
        <v>102</v>
      </c>
      <c r="I90" s="2423"/>
      <c r="J90" s="2446">
        <f>B89</f>
        <v>43710</v>
      </c>
      <c r="K90" s="2447">
        <f t="shared" si="38"/>
        <v>43713</v>
      </c>
      <c r="L90" s="2423"/>
      <c r="M90" s="2448"/>
      <c r="N90" s="2423"/>
    </row>
    <row r="91">
      <c r="A91" s="2439" t="s">
        <v>1749</v>
      </c>
      <c r="B91" s="2440">
        <f>B89+1</f>
        <v>43711</v>
      </c>
      <c r="C91" s="2441"/>
      <c r="D91" s="2442" t="s">
        <v>1748</v>
      </c>
      <c r="E91" s="2441"/>
      <c r="F91" s="2458" t="s">
        <v>336</v>
      </c>
      <c r="G91" s="2460" t="s">
        <v>1897</v>
      </c>
      <c r="H91" s="2487" t="s">
        <v>25</v>
      </c>
      <c r="I91" s="2423"/>
      <c r="J91" s="2446">
        <f>B91</f>
        <v>43711</v>
      </c>
      <c r="K91" s="2447">
        <f t="shared" si="38"/>
        <v>43714</v>
      </c>
      <c r="L91" s="2423"/>
      <c r="M91" s="2448"/>
      <c r="N91" s="2423"/>
    </row>
    <row r="92">
      <c r="C92" s="2441"/>
      <c r="D92" s="2453" t="s">
        <v>1748</v>
      </c>
      <c r="E92" s="2441"/>
      <c r="F92" s="2458" t="s">
        <v>923</v>
      </c>
      <c r="G92" s="2460" t="s">
        <v>1898</v>
      </c>
      <c r="H92" s="2445" t="s">
        <v>136</v>
      </c>
      <c r="I92" s="2423"/>
      <c r="J92" s="2446">
        <f>B91</f>
        <v>43711</v>
      </c>
      <c r="K92" s="2447">
        <f t="shared" si="38"/>
        <v>43714</v>
      </c>
      <c r="L92" s="2423"/>
      <c r="M92" s="2448"/>
      <c r="N92" s="2423"/>
    </row>
    <row r="93">
      <c r="A93" s="2439" t="s">
        <v>1751</v>
      </c>
      <c r="B93" s="2440">
        <f>B91+1</f>
        <v>43712</v>
      </c>
      <c r="C93" s="2441"/>
      <c r="D93" s="2442" t="s">
        <v>1748</v>
      </c>
      <c r="E93" s="2441"/>
      <c r="F93" s="2458" t="s">
        <v>337</v>
      </c>
      <c r="G93" s="2460" t="s">
        <v>1899</v>
      </c>
      <c r="H93" s="2449" t="s">
        <v>101</v>
      </c>
      <c r="I93" s="2423"/>
      <c r="J93" s="2446">
        <f t="shared" ref="J93:J94" si="39">B93</f>
        <v>43712</v>
      </c>
      <c r="K93" s="2447">
        <f t="shared" si="38"/>
        <v>43715</v>
      </c>
      <c r="L93" s="2423"/>
      <c r="M93" s="2448"/>
      <c r="N93" s="2423"/>
    </row>
    <row r="94">
      <c r="A94" s="2439" t="s">
        <v>1749</v>
      </c>
      <c r="B94" s="2440">
        <f>B93+1</f>
        <v>43713</v>
      </c>
      <c r="C94" s="2441"/>
      <c r="D94" s="2442" t="s">
        <v>1755</v>
      </c>
      <c r="E94" s="2441"/>
      <c r="F94" s="2458" t="s">
        <v>1900</v>
      </c>
      <c r="G94" s="2460" t="s">
        <v>1901</v>
      </c>
      <c r="H94" s="2478" t="s">
        <v>61</v>
      </c>
      <c r="I94" s="2423"/>
      <c r="J94" s="2446">
        <f t="shared" si="39"/>
        <v>43713</v>
      </c>
      <c r="K94" s="2447">
        <f>J94+7</f>
        <v>43720</v>
      </c>
      <c r="L94" s="2423"/>
      <c r="M94" s="2448"/>
      <c r="N94" s="2423"/>
    </row>
    <row r="95">
      <c r="C95" s="2441"/>
      <c r="D95" s="2442" t="s">
        <v>1748</v>
      </c>
      <c r="E95" s="2441"/>
      <c r="F95" s="2458" t="s">
        <v>338</v>
      </c>
      <c r="G95" s="2460" t="s">
        <v>1902</v>
      </c>
      <c r="H95" s="2445" t="s">
        <v>111</v>
      </c>
      <c r="I95" s="2423"/>
      <c r="J95" s="2446">
        <f>B94</f>
        <v>43713</v>
      </c>
      <c r="K95" s="2447">
        <f t="shared" ref="K95:K96" si="40">J95+3</f>
        <v>43716</v>
      </c>
      <c r="L95" s="2423"/>
      <c r="M95" s="2486" t="s">
        <v>1872</v>
      </c>
      <c r="N95" s="2423"/>
    </row>
    <row r="96">
      <c r="A96" s="2439" t="s">
        <v>1758</v>
      </c>
      <c r="B96" s="2440">
        <f>B94+1</f>
        <v>43714</v>
      </c>
      <c r="C96" s="2441"/>
      <c r="D96" s="2442" t="s">
        <v>1759</v>
      </c>
      <c r="E96" s="2441"/>
      <c r="F96" s="2458" t="s">
        <v>61</v>
      </c>
      <c r="G96" s="2460" t="s">
        <v>61</v>
      </c>
      <c r="H96" s="2461" t="s">
        <v>61</v>
      </c>
      <c r="I96" s="2423"/>
      <c r="J96" s="2446">
        <f>B96</f>
        <v>43714</v>
      </c>
      <c r="K96" s="2447">
        <f t="shared" si="40"/>
        <v>43717</v>
      </c>
      <c r="L96" s="2423"/>
      <c r="M96" s="2448"/>
      <c r="N96" s="2423"/>
    </row>
    <row r="97">
      <c r="A97" s="2439" t="s">
        <v>1761</v>
      </c>
      <c r="B97" s="2440">
        <f t="shared" ref="B97:B100" si="41">B96+1</f>
        <v>43715</v>
      </c>
      <c r="C97" s="2441"/>
      <c r="D97" s="2442" t="s">
        <v>1513</v>
      </c>
      <c r="E97" s="2441"/>
      <c r="F97" s="2458" t="s">
        <v>61</v>
      </c>
      <c r="G97" s="2460" t="s">
        <v>61</v>
      </c>
      <c r="H97" s="2461" t="s">
        <v>61</v>
      </c>
      <c r="I97" s="2423"/>
      <c r="J97" s="2462"/>
      <c r="K97" s="2463"/>
      <c r="L97" s="2423"/>
      <c r="M97" s="2448"/>
      <c r="N97" s="2423"/>
    </row>
    <row r="98">
      <c r="A98" s="2464" t="s">
        <v>1761</v>
      </c>
      <c r="B98" s="2465">
        <f t="shared" si="41"/>
        <v>43716</v>
      </c>
      <c r="C98" s="2466"/>
      <c r="D98" s="2467" t="s">
        <v>1762</v>
      </c>
      <c r="E98" s="2466"/>
      <c r="F98" s="2468" t="s">
        <v>61</v>
      </c>
      <c r="G98" s="2469" t="s">
        <v>61</v>
      </c>
      <c r="H98" s="2470" t="s">
        <v>61</v>
      </c>
      <c r="I98" s="2435"/>
      <c r="J98" s="2471"/>
      <c r="K98" s="2472"/>
      <c r="L98" s="2435"/>
      <c r="M98" s="2473"/>
      <c r="N98" s="2435"/>
    </row>
    <row r="99">
      <c r="A99" s="2439" t="s">
        <v>1747</v>
      </c>
      <c r="B99" s="2440">
        <f t="shared" si="41"/>
        <v>43717</v>
      </c>
      <c r="C99" s="2441"/>
      <c r="D99" s="2442" t="s">
        <v>1748</v>
      </c>
      <c r="E99" s="2441"/>
      <c r="F99" s="2488" t="s">
        <v>61</v>
      </c>
      <c r="G99" s="2489" t="s">
        <v>1903</v>
      </c>
      <c r="H99" s="2461" t="s">
        <v>61</v>
      </c>
      <c r="I99" s="2423"/>
      <c r="J99" s="2446">
        <f t="shared" ref="J99:J100" si="42">B99</f>
        <v>43717</v>
      </c>
      <c r="K99" s="2447">
        <f t="shared" ref="K99:K102" si="43">J99+3</f>
        <v>43720</v>
      </c>
      <c r="L99" s="2423"/>
      <c r="M99" s="2448"/>
      <c r="N99" s="2423"/>
    </row>
    <row r="100">
      <c r="A100" s="2439" t="s">
        <v>1749</v>
      </c>
      <c r="B100" s="2440">
        <f t="shared" si="41"/>
        <v>43718</v>
      </c>
      <c r="C100" s="2441"/>
      <c r="D100" s="2442" t="s">
        <v>1748</v>
      </c>
      <c r="E100" s="2441"/>
      <c r="F100" s="2458" t="s">
        <v>856</v>
      </c>
      <c r="G100" s="2460" t="s">
        <v>1904</v>
      </c>
      <c r="H100" s="2445" t="s">
        <v>294</v>
      </c>
      <c r="I100" s="2423"/>
      <c r="J100" s="2446">
        <f t="shared" si="42"/>
        <v>43718</v>
      </c>
      <c r="K100" s="2447">
        <f t="shared" si="43"/>
        <v>43721</v>
      </c>
      <c r="L100" s="2423"/>
      <c r="M100" s="2448"/>
      <c r="N100" s="2423"/>
    </row>
    <row r="101">
      <c r="C101" s="2441"/>
      <c r="D101" s="2453" t="s">
        <v>1748</v>
      </c>
      <c r="E101" s="2441"/>
      <c r="F101" s="2458" t="s">
        <v>636</v>
      </c>
      <c r="G101" s="2460" t="s">
        <v>1905</v>
      </c>
      <c r="H101" s="2487" t="s">
        <v>1906</v>
      </c>
      <c r="I101" s="2423"/>
      <c r="J101" s="2446">
        <f>B100</f>
        <v>43718</v>
      </c>
      <c r="K101" s="2447">
        <f t="shared" si="43"/>
        <v>43721</v>
      </c>
      <c r="L101" s="2423"/>
      <c r="M101" s="2448"/>
      <c r="N101" s="2423"/>
    </row>
    <row r="102">
      <c r="A102" s="2439" t="s">
        <v>1751</v>
      </c>
      <c r="B102" s="2440">
        <f>B100+1</f>
        <v>43719</v>
      </c>
      <c r="C102" s="2441"/>
      <c r="D102" s="2442" t="s">
        <v>1748</v>
      </c>
      <c r="E102" s="2441"/>
      <c r="F102" s="2458" t="s">
        <v>1907</v>
      </c>
      <c r="G102" s="2460" t="s">
        <v>1908</v>
      </c>
      <c r="H102" s="2445" t="s">
        <v>16</v>
      </c>
      <c r="I102" s="2423"/>
      <c r="J102" s="2446">
        <f t="shared" ref="J102:J103" si="44">B102</f>
        <v>43719</v>
      </c>
      <c r="K102" s="2447">
        <f t="shared" si="43"/>
        <v>43722</v>
      </c>
      <c r="L102" s="2423"/>
      <c r="M102" s="2448"/>
      <c r="N102" s="2423"/>
    </row>
    <row r="103">
      <c r="A103" s="2439" t="s">
        <v>1749</v>
      </c>
      <c r="B103" s="2440">
        <f>B102+1</f>
        <v>43720</v>
      </c>
      <c r="C103" s="2441"/>
      <c r="D103" s="2442" t="s">
        <v>1755</v>
      </c>
      <c r="E103" s="2441"/>
      <c r="F103" s="2458" t="s">
        <v>1909</v>
      </c>
      <c r="G103" s="2460" t="s">
        <v>1910</v>
      </c>
      <c r="H103" s="2478" t="s">
        <v>61</v>
      </c>
      <c r="I103" s="2423"/>
      <c r="J103" s="2446">
        <f t="shared" si="44"/>
        <v>43720</v>
      </c>
      <c r="K103" s="2447">
        <f>J103+7</f>
        <v>43727</v>
      </c>
      <c r="L103" s="2423"/>
      <c r="M103" s="2448"/>
      <c r="N103" s="2423"/>
    </row>
    <row r="104">
      <c r="C104" s="2441"/>
      <c r="D104" s="2442" t="s">
        <v>1748</v>
      </c>
      <c r="E104" s="2441"/>
      <c r="F104" s="2458" t="s">
        <v>341</v>
      </c>
      <c r="G104" s="2460" t="s">
        <v>1911</v>
      </c>
      <c r="H104" s="2445" t="s">
        <v>112</v>
      </c>
      <c r="I104" s="2423"/>
      <c r="J104" s="2446">
        <f>B103</f>
        <v>43720</v>
      </c>
      <c r="K104" s="2447">
        <f t="shared" ref="K104:K105" si="45">J104+3</f>
        <v>43723</v>
      </c>
      <c r="L104" s="2423"/>
      <c r="M104" s="2448"/>
      <c r="N104" s="2423"/>
    </row>
    <row r="105">
      <c r="A105" s="2439" t="s">
        <v>1758</v>
      </c>
      <c r="B105" s="2440">
        <f>B103+1</f>
        <v>43721</v>
      </c>
      <c r="C105" s="2441"/>
      <c r="D105" s="2442" t="s">
        <v>1759</v>
      </c>
      <c r="E105" s="2441"/>
      <c r="F105" s="2458" t="s">
        <v>979</v>
      </c>
      <c r="G105" s="2490" t="s">
        <v>1912</v>
      </c>
      <c r="H105" s="2445" t="s">
        <v>294</v>
      </c>
      <c r="I105" s="2423"/>
      <c r="J105" s="2446">
        <f>B105</f>
        <v>43721</v>
      </c>
      <c r="K105" s="2447">
        <f t="shared" si="45"/>
        <v>43724</v>
      </c>
      <c r="L105" s="2423"/>
      <c r="M105" s="2448"/>
      <c r="N105" s="2423"/>
    </row>
    <row r="106">
      <c r="A106" s="2439" t="s">
        <v>1761</v>
      </c>
      <c r="B106" s="2440">
        <f t="shared" ref="B106:B108" si="46">B105+1</f>
        <v>43722</v>
      </c>
      <c r="C106" s="2441"/>
      <c r="D106" s="2442" t="s">
        <v>1513</v>
      </c>
      <c r="E106" s="2441"/>
      <c r="F106" s="2458" t="s">
        <v>61</v>
      </c>
      <c r="G106" s="2460" t="s">
        <v>61</v>
      </c>
      <c r="H106" s="2461" t="s">
        <v>61</v>
      </c>
      <c r="I106" s="2423"/>
      <c r="J106" s="2462"/>
      <c r="K106" s="2463"/>
      <c r="L106" s="2423"/>
      <c r="M106" s="2448"/>
      <c r="N106" s="2423"/>
    </row>
    <row r="107">
      <c r="A107" s="2464" t="s">
        <v>1761</v>
      </c>
      <c r="B107" s="2465">
        <f t="shared" si="46"/>
        <v>43723</v>
      </c>
      <c r="C107" s="2466"/>
      <c r="D107" s="2467" t="s">
        <v>1762</v>
      </c>
      <c r="E107" s="2466"/>
      <c r="F107" s="2468" t="s">
        <v>61</v>
      </c>
      <c r="G107" s="2469" t="s">
        <v>61</v>
      </c>
      <c r="H107" s="2470" t="s">
        <v>61</v>
      </c>
      <c r="I107" s="2435"/>
      <c r="J107" s="2471"/>
      <c r="K107" s="2472"/>
      <c r="L107" s="2435"/>
      <c r="M107" s="2473"/>
      <c r="N107" s="2435"/>
    </row>
    <row r="108">
      <c r="A108" s="2439" t="s">
        <v>1747</v>
      </c>
      <c r="B108" s="2440">
        <f t="shared" si="46"/>
        <v>43724</v>
      </c>
      <c r="C108" s="2441"/>
      <c r="D108" s="2442" t="s">
        <v>1748</v>
      </c>
      <c r="E108" s="2441"/>
      <c r="F108" s="2458" t="s">
        <v>857</v>
      </c>
      <c r="G108" s="2460" t="s">
        <v>1913</v>
      </c>
      <c r="H108" s="2491" t="s">
        <v>176</v>
      </c>
      <c r="I108" s="2423"/>
      <c r="J108" s="2446">
        <f>B108</f>
        <v>43724</v>
      </c>
      <c r="K108" s="2447">
        <f t="shared" ref="K108:K112" si="47">J108+3</f>
        <v>43727</v>
      </c>
      <c r="L108" s="2423"/>
      <c r="M108" s="2448"/>
      <c r="N108" s="2423"/>
    </row>
    <row r="109">
      <c r="C109" s="2441"/>
      <c r="D109" s="2453" t="s">
        <v>1748</v>
      </c>
      <c r="E109" s="2441"/>
      <c r="F109" s="2458" t="s">
        <v>1914</v>
      </c>
      <c r="G109" s="2460" t="s">
        <v>1915</v>
      </c>
      <c r="H109" s="2445" t="s">
        <v>294</v>
      </c>
      <c r="I109" s="2423"/>
      <c r="J109" s="2446">
        <f>B108</f>
        <v>43724</v>
      </c>
      <c r="K109" s="2447">
        <f t="shared" si="47"/>
        <v>43727</v>
      </c>
      <c r="L109" s="2423"/>
      <c r="M109" s="2448"/>
      <c r="N109" s="2423"/>
    </row>
    <row r="110">
      <c r="A110" s="2439" t="s">
        <v>1749</v>
      </c>
      <c r="B110" s="2440">
        <f>B108+1</f>
        <v>43725</v>
      </c>
      <c r="C110" s="2441"/>
      <c r="D110" s="2442" t="s">
        <v>1748</v>
      </c>
      <c r="E110" s="2441"/>
      <c r="F110" s="2458" t="s">
        <v>343</v>
      </c>
      <c r="G110" s="2460" t="s">
        <v>1916</v>
      </c>
      <c r="H110" s="2445" t="s">
        <v>294</v>
      </c>
      <c r="I110" s="2423"/>
      <c r="J110" s="2446">
        <f t="shared" ref="J110:J111" si="48">B110</f>
        <v>43725</v>
      </c>
      <c r="K110" s="2447">
        <f t="shared" si="47"/>
        <v>43728</v>
      </c>
      <c r="L110" s="2423"/>
      <c r="M110" s="2448"/>
      <c r="N110" s="2423"/>
    </row>
    <row r="111">
      <c r="A111" s="2439" t="s">
        <v>1751</v>
      </c>
      <c r="B111" s="2440">
        <f>B110+1</f>
        <v>43726</v>
      </c>
      <c r="C111" s="2441"/>
      <c r="D111" s="2442" t="s">
        <v>1748</v>
      </c>
      <c r="E111" s="2441"/>
      <c r="F111" s="2458" t="s">
        <v>858</v>
      </c>
      <c r="G111" s="2460" t="s">
        <v>1917</v>
      </c>
      <c r="H111" s="2491" t="s">
        <v>308</v>
      </c>
      <c r="I111" s="2423"/>
      <c r="J111" s="2446">
        <f t="shared" si="48"/>
        <v>43726</v>
      </c>
      <c r="K111" s="2447">
        <f t="shared" si="47"/>
        <v>43729</v>
      </c>
      <c r="L111" s="2423"/>
      <c r="M111" s="2448"/>
      <c r="N111" s="2423"/>
    </row>
    <row r="112">
      <c r="C112" s="2441"/>
      <c r="D112" s="2453" t="s">
        <v>1748</v>
      </c>
      <c r="E112" s="2441"/>
      <c r="F112" s="2458" t="s">
        <v>345</v>
      </c>
      <c r="G112" s="2460" t="s">
        <v>484</v>
      </c>
      <c r="H112" s="2475" t="s">
        <v>206</v>
      </c>
      <c r="I112" s="2423"/>
      <c r="J112" s="2446">
        <f>B111</f>
        <v>43726</v>
      </c>
      <c r="K112" s="2447">
        <f t="shared" si="47"/>
        <v>43729</v>
      </c>
      <c r="L112" s="2423"/>
      <c r="M112" s="2448"/>
      <c r="N112" s="2423"/>
    </row>
    <row r="113">
      <c r="A113" s="2439" t="s">
        <v>1749</v>
      </c>
      <c r="B113" s="2440">
        <f>B111+1</f>
        <v>43727</v>
      </c>
      <c r="C113" s="2441"/>
      <c r="D113" s="2442" t="s">
        <v>1755</v>
      </c>
      <c r="E113" s="2441"/>
      <c r="F113" s="2458" t="s">
        <v>1918</v>
      </c>
      <c r="G113" s="2460" t="s">
        <v>1919</v>
      </c>
      <c r="H113" s="2478" t="s">
        <v>61</v>
      </c>
      <c r="I113" s="2423"/>
      <c r="J113" s="2446">
        <f>B113</f>
        <v>43727</v>
      </c>
      <c r="K113" s="2447">
        <f>J113+7</f>
        <v>43734</v>
      </c>
      <c r="L113" s="2423"/>
      <c r="M113" s="2448"/>
      <c r="N113" s="2423"/>
    </row>
    <row r="114">
      <c r="C114" s="2441"/>
      <c r="D114" s="2442" t="s">
        <v>1748</v>
      </c>
      <c r="E114" s="2441"/>
      <c r="F114" s="2458" t="s">
        <v>638</v>
      </c>
      <c r="G114" s="2460" t="s">
        <v>1920</v>
      </c>
      <c r="H114" s="2445" t="s">
        <v>1921</v>
      </c>
      <c r="I114" s="2423"/>
      <c r="J114" s="2446">
        <f>B113</f>
        <v>43727</v>
      </c>
      <c r="K114" s="2447">
        <f t="shared" ref="K114:K115" si="49">J114+3</f>
        <v>43730</v>
      </c>
      <c r="L114" s="2423"/>
      <c r="M114" s="2448"/>
      <c r="N114" s="2423"/>
    </row>
    <row r="115">
      <c r="A115" s="2439" t="s">
        <v>1758</v>
      </c>
      <c r="B115" s="2440">
        <f>B113+1</f>
        <v>43728</v>
      </c>
      <c r="C115" s="2441"/>
      <c r="D115" s="2442" t="s">
        <v>1759</v>
      </c>
      <c r="E115" s="2441"/>
      <c r="F115" s="2458" t="s">
        <v>980</v>
      </c>
      <c r="G115" s="2460" t="s">
        <v>1922</v>
      </c>
      <c r="H115" s="2480" t="s">
        <v>182</v>
      </c>
      <c r="I115" s="2423"/>
      <c r="J115" s="2446">
        <f>B115</f>
        <v>43728</v>
      </c>
      <c r="K115" s="2447">
        <f t="shared" si="49"/>
        <v>43731</v>
      </c>
      <c r="L115" s="2423"/>
      <c r="M115" s="2448"/>
      <c r="N115" s="2423"/>
    </row>
    <row r="116">
      <c r="A116" s="2439" t="s">
        <v>1761</v>
      </c>
      <c r="B116" s="2440">
        <f t="shared" ref="B116:B118" si="50">B115+1</f>
        <v>43729</v>
      </c>
      <c r="C116" s="2441"/>
      <c r="D116" s="2442" t="s">
        <v>1513</v>
      </c>
      <c r="E116" s="2441"/>
      <c r="F116" s="2458" t="s">
        <v>61</v>
      </c>
      <c r="G116" s="2460" t="s">
        <v>61</v>
      </c>
      <c r="H116" s="2461" t="s">
        <v>61</v>
      </c>
      <c r="I116" s="2423"/>
      <c r="J116" s="2462"/>
      <c r="K116" s="2463"/>
      <c r="L116" s="2423"/>
      <c r="M116" s="2448"/>
      <c r="N116" s="2423"/>
    </row>
    <row r="117">
      <c r="A117" s="2464" t="s">
        <v>1761</v>
      </c>
      <c r="B117" s="2465">
        <f t="shared" si="50"/>
        <v>43730</v>
      </c>
      <c r="C117" s="2466"/>
      <c r="D117" s="2467" t="s">
        <v>1762</v>
      </c>
      <c r="E117" s="2466"/>
      <c r="F117" s="2468" t="s">
        <v>61</v>
      </c>
      <c r="G117" s="2469" t="s">
        <v>61</v>
      </c>
      <c r="H117" s="2470" t="s">
        <v>61</v>
      </c>
      <c r="I117" s="2435"/>
      <c r="J117" s="2471"/>
      <c r="K117" s="2472"/>
      <c r="L117" s="2435"/>
      <c r="M117" s="2473"/>
      <c r="N117" s="2435"/>
    </row>
    <row r="118">
      <c r="A118" s="2439" t="s">
        <v>1747</v>
      </c>
      <c r="B118" s="2440">
        <f t="shared" si="50"/>
        <v>43731</v>
      </c>
      <c r="C118" s="2441"/>
      <c r="D118" s="2442" t="s">
        <v>1748</v>
      </c>
      <c r="E118" s="2441"/>
      <c r="F118" s="2458" t="s">
        <v>640</v>
      </c>
      <c r="G118" s="2460" t="s">
        <v>1923</v>
      </c>
      <c r="H118" s="2491" t="s">
        <v>16</v>
      </c>
      <c r="I118" s="2423"/>
      <c r="J118" s="2446">
        <f>B118</f>
        <v>43731</v>
      </c>
      <c r="K118" s="2447">
        <f t="shared" ref="K118:K122" si="51">J118+3</f>
        <v>43734</v>
      </c>
      <c r="L118" s="2423"/>
      <c r="M118" s="2448"/>
      <c r="N118" s="2423"/>
    </row>
    <row r="119">
      <c r="C119" s="2441"/>
      <c r="D119" s="2453" t="s">
        <v>1748</v>
      </c>
      <c r="E119" s="2441"/>
      <c r="F119" s="2458" t="s">
        <v>346</v>
      </c>
      <c r="G119" s="2460" t="s">
        <v>1924</v>
      </c>
      <c r="H119" s="2449" t="s">
        <v>101</v>
      </c>
      <c r="I119" s="2423"/>
      <c r="J119" s="2446">
        <f>B118</f>
        <v>43731</v>
      </c>
      <c r="K119" s="2447">
        <f t="shared" si="51"/>
        <v>43734</v>
      </c>
      <c r="L119" s="2423"/>
      <c r="M119" s="2448"/>
      <c r="N119" s="2423"/>
    </row>
    <row r="120">
      <c r="A120" s="2439" t="s">
        <v>1749</v>
      </c>
      <c r="B120" s="2440">
        <f>B118+1</f>
        <v>43732</v>
      </c>
      <c r="C120" s="2441"/>
      <c r="D120" s="2442" t="s">
        <v>1748</v>
      </c>
      <c r="E120" s="2441"/>
      <c r="F120" s="2458" t="s">
        <v>347</v>
      </c>
      <c r="G120" s="2460" t="s">
        <v>1925</v>
      </c>
      <c r="H120" s="2492" t="s">
        <v>294</v>
      </c>
      <c r="I120" s="2423"/>
      <c r="J120" s="2446">
        <f>B120</f>
        <v>43732</v>
      </c>
      <c r="K120" s="2447">
        <f t="shared" si="51"/>
        <v>43735</v>
      </c>
      <c r="L120" s="2423"/>
      <c r="M120" s="2448"/>
      <c r="N120" s="2423"/>
    </row>
    <row r="121">
      <c r="C121" s="2441"/>
      <c r="D121" s="2453" t="s">
        <v>1748</v>
      </c>
      <c r="E121" s="2441"/>
      <c r="F121" s="2458" t="s">
        <v>1764</v>
      </c>
      <c r="G121" s="2460" t="s">
        <v>1926</v>
      </c>
      <c r="H121" s="2491" t="s">
        <v>201</v>
      </c>
      <c r="I121" s="2423"/>
      <c r="J121" s="2446">
        <f>B120</f>
        <v>43732</v>
      </c>
      <c r="K121" s="2447">
        <f t="shared" si="51"/>
        <v>43735</v>
      </c>
      <c r="L121" s="2423"/>
      <c r="M121" s="2448"/>
      <c r="N121" s="2423"/>
    </row>
    <row r="122">
      <c r="A122" s="2439" t="s">
        <v>1751</v>
      </c>
      <c r="B122" s="2440">
        <f>B120+1</f>
        <v>43733</v>
      </c>
      <c r="C122" s="2441"/>
      <c r="D122" s="2442" t="s">
        <v>1748</v>
      </c>
      <c r="E122" s="2441"/>
      <c r="F122" s="2458" t="s">
        <v>641</v>
      </c>
      <c r="G122" s="2460" t="s">
        <v>1927</v>
      </c>
      <c r="H122" s="2491" t="s">
        <v>197</v>
      </c>
      <c r="I122" s="2423"/>
      <c r="J122" s="2446">
        <f t="shared" ref="J122:J123" si="52">B122</f>
        <v>43733</v>
      </c>
      <c r="K122" s="2447">
        <f t="shared" si="51"/>
        <v>43736</v>
      </c>
      <c r="L122" s="2423"/>
      <c r="M122" s="2448"/>
      <c r="N122" s="2423"/>
    </row>
    <row r="123">
      <c r="A123" s="2439" t="s">
        <v>1749</v>
      </c>
      <c r="B123" s="2440">
        <f>B122+1</f>
        <v>43734</v>
      </c>
      <c r="C123" s="2441"/>
      <c r="D123" s="2442" t="s">
        <v>1755</v>
      </c>
      <c r="E123" s="2441"/>
      <c r="F123" s="2458" t="s">
        <v>1928</v>
      </c>
      <c r="G123" s="2460" t="s">
        <v>1929</v>
      </c>
      <c r="H123" s="2478" t="s">
        <v>61</v>
      </c>
      <c r="I123" s="2423"/>
      <c r="J123" s="2446">
        <f t="shared" si="52"/>
        <v>43734</v>
      </c>
      <c r="K123" s="2447">
        <f>J123+7</f>
        <v>43741</v>
      </c>
      <c r="L123" s="2423"/>
      <c r="M123" s="2448"/>
      <c r="N123" s="2423"/>
    </row>
    <row r="124">
      <c r="C124" s="2441"/>
      <c r="D124" s="2453" t="s">
        <v>1748</v>
      </c>
      <c r="E124" s="2441"/>
      <c r="F124" s="2458" t="s">
        <v>642</v>
      </c>
      <c r="G124" s="2460" t="s">
        <v>1930</v>
      </c>
      <c r="H124" s="2487" t="s">
        <v>25</v>
      </c>
      <c r="I124" s="2423"/>
      <c r="J124" s="2446">
        <f>B123</f>
        <v>43734</v>
      </c>
      <c r="K124" s="2447">
        <f t="shared" ref="K124:K125" si="53">J124+3</f>
        <v>43737</v>
      </c>
      <c r="L124" s="2423"/>
      <c r="M124" s="2448"/>
      <c r="N124" s="2423"/>
    </row>
    <row r="125">
      <c r="A125" s="2439" t="s">
        <v>1758</v>
      </c>
      <c r="B125" s="2440">
        <f>B123+1</f>
        <v>43735</v>
      </c>
      <c r="C125" s="2441"/>
      <c r="D125" s="2442" t="s">
        <v>1759</v>
      </c>
      <c r="E125" s="2441"/>
      <c r="F125" s="2458" t="s">
        <v>982</v>
      </c>
      <c r="G125" s="2460" t="s">
        <v>1931</v>
      </c>
      <c r="H125" s="2492" t="s">
        <v>294</v>
      </c>
      <c r="I125" s="2423"/>
      <c r="J125" s="2446">
        <f>B125</f>
        <v>43735</v>
      </c>
      <c r="K125" s="2447">
        <f t="shared" si="53"/>
        <v>43738</v>
      </c>
      <c r="L125" s="2423"/>
      <c r="M125" s="2448"/>
      <c r="N125" s="2423"/>
    </row>
    <row r="126">
      <c r="A126" s="2439" t="s">
        <v>1761</v>
      </c>
      <c r="B126" s="2440">
        <f t="shared" ref="B126:B127" si="54">B125+1</f>
        <v>43736</v>
      </c>
      <c r="C126" s="2441"/>
      <c r="D126" s="2442" t="s">
        <v>1513</v>
      </c>
      <c r="E126" s="2441"/>
      <c r="F126" s="2458" t="s">
        <v>61</v>
      </c>
      <c r="G126" s="2460" t="s">
        <v>61</v>
      </c>
      <c r="H126" s="2461" t="s">
        <v>61</v>
      </c>
      <c r="I126" s="2423"/>
      <c r="J126" s="2462"/>
      <c r="K126" s="2463"/>
      <c r="L126" s="2423"/>
      <c r="M126" s="2448"/>
      <c r="N126" s="2423"/>
    </row>
    <row r="127">
      <c r="A127" s="2464" t="s">
        <v>1761</v>
      </c>
      <c r="B127" s="2465">
        <f t="shared" si="54"/>
        <v>43737</v>
      </c>
      <c r="C127" s="2466"/>
      <c r="D127" s="2467" t="s">
        <v>1762</v>
      </c>
      <c r="E127" s="2466"/>
      <c r="F127" s="2468" t="s">
        <v>61</v>
      </c>
      <c r="G127" s="2469" t="s">
        <v>61</v>
      </c>
      <c r="H127" s="2470" t="s">
        <v>61</v>
      </c>
      <c r="I127" s="2435"/>
      <c r="J127" s="2471"/>
      <c r="K127" s="2472"/>
      <c r="L127" s="2435"/>
      <c r="M127" s="2473"/>
      <c r="N127" s="2435"/>
    </row>
    <row r="128">
      <c r="A128" s="2493"/>
      <c r="N128" s="135"/>
    </row>
    <row r="129">
      <c r="A129" s="2493"/>
      <c r="E129" s="1739"/>
      <c r="F129" s="2494" t="s">
        <v>1801</v>
      </c>
      <c r="G129" s="1179"/>
      <c r="H129" s="1179"/>
      <c r="I129" s="2495"/>
      <c r="N129" s="135"/>
    </row>
    <row r="130">
      <c r="A130" s="2493"/>
      <c r="E130" s="1739"/>
      <c r="F130" s="2496" t="s">
        <v>1932</v>
      </c>
      <c r="G130" s="2497" t="s">
        <v>1933</v>
      </c>
      <c r="H130" s="633" t="s">
        <v>260</v>
      </c>
      <c r="I130" s="2495"/>
      <c r="N130" s="135"/>
    </row>
    <row r="131">
      <c r="A131" s="2493"/>
      <c r="E131" s="1739"/>
      <c r="F131" s="2496" t="s">
        <v>1934</v>
      </c>
      <c r="G131" s="2497" t="s">
        <v>1763</v>
      </c>
      <c r="H131" s="2487" t="s">
        <v>25</v>
      </c>
      <c r="I131" s="2495"/>
      <c r="N131" s="135"/>
    </row>
    <row r="132">
      <c r="A132" s="2493"/>
      <c r="E132" s="1739"/>
      <c r="F132" s="2496" t="s">
        <v>1935</v>
      </c>
      <c r="G132" s="2497" t="s">
        <v>1766</v>
      </c>
      <c r="H132" s="2491" t="s">
        <v>111</v>
      </c>
      <c r="I132" s="2495"/>
      <c r="N132" s="135"/>
    </row>
    <row r="133">
      <c r="A133" s="2493"/>
      <c r="E133" s="1739"/>
      <c r="F133" s="2496" t="s">
        <v>1936</v>
      </c>
      <c r="G133" s="2497" t="s">
        <v>1937</v>
      </c>
      <c r="H133" s="2491" t="s">
        <v>111</v>
      </c>
      <c r="I133" s="2495"/>
      <c r="N133" s="135"/>
    </row>
    <row r="134">
      <c r="A134" s="2493"/>
      <c r="E134" s="1739"/>
      <c r="F134" s="2496" t="s">
        <v>1938</v>
      </c>
      <c r="G134" s="2497" t="s">
        <v>1753</v>
      </c>
      <c r="H134" s="2498" t="s">
        <v>244</v>
      </c>
      <c r="I134" s="2495"/>
      <c r="N134" s="135"/>
    </row>
    <row r="135">
      <c r="A135" s="2493"/>
      <c r="E135" s="1739"/>
      <c r="F135" s="2496" t="s">
        <v>1938</v>
      </c>
      <c r="G135" s="2497" t="s">
        <v>1757</v>
      </c>
      <c r="H135" s="2499" t="s">
        <v>101</v>
      </c>
      <c r="I135" s="2495"/>
      <c r="N135" s="135"/>
    </row>
    <row r="136">
      <c r="A136" s="2493"/>
      <c r="E136" s="1739"/>
      <c r="F136" s="2463"/>
      <c r="G136" s="2500"/>
      <c r="H136" s="2478"/>
      <c r="I136" s="2495"/>
      <c r="N136" s="135"/>
    </row>
    <row r="137">
      <c r="A137" s="2493"/>
      <c r="E137" s="1739"/>
      <c r="F137" s="2463"/>
      <c r="G137" s="2500"/>
      <c r="H137" s="2478"/>
      <c r="I137" s="2495"/>
      <c r="N137" s="135"/>
    </row>
    <row r="138">
      <c r="A138" s="2493"/>
      <c r="E138" s="1739"/>
      <c r="F138" s="2463"/>
      <c r="G138" s="2500"/>
      <c r="H138" s="2478"/>
      <c r="I138" s="2495"/>
      <c r="N138" s="135"/>
    </row>
    <row r="139">
      <c r="A139" s="2493"/>
      <c r="E139" s="1739"/>
      <c r="F139" s="2463"/>
      <c r="G139" s="2500"/>
      <c r="H139" s="2478"/>
      <c r="I139" s="2495"/>
      <c r="N139" s="135"/>
    </row>
    <row r="140">
      <c r="A140" s="2493"/>
      <c r="E140" s="1739"/>
      <c r="F140" s="2463"/>
      <c r="G140" s="2500"/>
      <c r="H140" s="2478"/>
      <c r="I140" s="2495"/>
      <c r="N140" s="135"/>
    </row>
    <row r="141">
      <c r="A141" s="2493"/>
      <c r="E141" s="1739"/>
      <c r="F141" s="2463"/>
      <c r="G141" s="2500"/>
      <c r="H141" s="2478"/>
      <c r="I141" s="2495"/>
      <c r="N141" s="135"/>
    </row>
    <row r="142">
      <c r="A142" s="2493"/>
      <c r="E142" s="1739"/>
      <c r="F142" s="2463"/>
      <c r="G142" s="2500"/>
      <c r="H142" s="2478"/>
      <c r="I142" s="2495"/>
      <c r="N142" s="135"/>
    </row>
    <row r="143">
      <c r="A143" s="2493"/>
      <c r="E143" s="1739"/>
      <c r="F143" s="2463"/>
      <c r="G143" s="2500"/>
      <c r="H143" s="2478"/>
      <c r="I143" s="2495"/>
      <c r="N143" s="135"/>
    </row>
    <row r="144">
      <c r="A144" s="2493"/>
      <c r="E144" s="1739"/>
      <c r="F144" s="2463"/>
      <c r="G144" s="2500"/>
      <c r="H144" s="2478"/>
      <c r="I144" s="2495"/>
      <c r="N144" s="135"/>
    </row>
    <row r="145">
      <c r="A145" s="2493"/>
      <c r="E145" s="1739"/>
      <c r="F145" s="2463"/>
      <c r="G145" s="2500"/>
      <c r="H145" s="2478"/>
      <c r="I145" s="2495"/>
      <c r="N145" s="135"/>
    </row>
    <row r="146">
      <c r="A146" s="2493"/>
      <c r="E146" s="1739"/>
      <c r="F146" s="2463"/>
      <c r="G146" s="2500"/>
      <c r="H146" s="2478"/>
      <c r="I146" s="2495"/>
      <c r="N146" s="135"/>
    </row>
    <row r="147">
      <c r="A147" s="2493"/>
      <c r="E147" s="1739"/>
      <c r="F147" s="2463"/>
      <c r="G147" s="2500"/>
      <c r="H147" s="2478"/>
      <c r="I147" s="2495"/>
      <c r="N147" s="135"/>
    </row>
    <row r="148">
      <c r="A148" s="2493"/>
      <c r="E148" s="1739"/>
      <c r="F148" s="2463"/>
      <c r="G148" s="2500"/>
      <c r="H148" s="2478"/>
      <c r="I148" s="2495"/>
      <c r="N148" s="135"/>
    </row>
    <row r="149">
      <c r="A149" s="2493"/>
      <c r="E149" s="1739"/>
      <c r="F149" s="2463"/>
      <c r="G149" s="2500"/>
      <c r="H149" s="2478"/>
      <c r="I149" s="2495"/>
      <c r="N149" s="135"/>
    </row>
    <row r="150">
      <c r="A150" s="2493"/>
      <c r="E150" s="1739"/>
      <c r="F150" s="2463"/>
      <c r="G150" s="2500"/>
      <c r="H150" s="2478"/>
      <c r="I150" s="2495"/>
      <c r="N150" s="135"/>
    </row>
    <row r="151">
      <c r="A151" s="2493"/>
      <c r="E151" s="1739"/>
      <c r="F151" s="2463"/>
      <c r="G151" s="2500"/>
      <c r="H151" s="2478"/>
      <c r="I151" s="2495"/>
      <c r="N151" s="135"/>
    </row>
  </sheetData>
  <mergeCells count="115">
    <mergeCell ref="A1:E2"/>
    <mergeCell ref="F1:H2"/>
    <mergeCell ref="J1:K2"/>
    <mergeCell ref="M1:M3"/>
    <mergeCell ref="A3:B3"/>
    <mergeCell ref="A5:A6"/>
    <mergeCell ref="B5:B6"/>
    <mergeCell ref="A8:A9"/>
    <mergeCell ref="B8:B9"/>
    <mergeCell ref="A10:A11"/>
    <mergeCell ref="B10:B11"/>
    <mergeCell ref="A15:A16"/>
    <mergeCell ref="B15:B16"/>
    <mergeCell ref="B18:B19"/>
    <mergeCell ref="B20:B21"/>
    <mergeCell ref="A18:A19"/>
    <mergeCell ref="A20:A21"/>
    <mergeCell ref="A25:A26"/>
    <mergeCell ref="B25:B26"/>
    <mergeCell ref="A27:A28"/>
    <mergeCell ref="B27:B28"/>
    <mergeCell ref="B29:B30"/>
    <mergeCell ref="B31:B32"/>
    <mergeCell ref="A29:A30"/>
    <mergeCell ref="A31:A32"/>
    <mergeCell ref="A36:A37"/>
    <mergeCell ref="B36:B37"/>
    <mergeCell ref="A38:A39"/>
    <mergeCell ref="B38:B39"/>
    <mergeCell ref="B41:B42"/>
    <mergeCell ref="A41:A42"/>
    <mergeCell ref="A46:A47"/>
    <mergeCell ref="B46:B47"/>
    <mergeCell ref="A50:A51"/>
    <mergeCell ref="B50:B51"/>
    <mergeCell ref="A58:A59"/>
    <mergeCell ref="B58:B59"/>
    <mergeCell ref="A66:A68"/>
    <mergeCell ref="B66:B68"/>
    <mergeCell ref="A75:A76"/>
    <mergeCell ref="B75:B76"/>
    <mergeCell ref="A80:A81"/>
    <mergeCell ref="B80:B81"/>
    <mergeCell ref="B84:B85"/>
    <mergeCell ref="A84:A85"/>
    <mergeCell ref="A89:A90"/>
    <mergeCell ref="B89:B90"/>
    <mergeCell ref="A91:A92"/>
    <mergeCell ref="B91:B92"/>
    <mergeCell ref="A94:A95"/>
    <mergeCell ref="B94:B95"/>
    <mergeCell ref="I143:N143"/>
    <mergeCell ref="I144:N144"/>
    <mergeCell ref="I136:N136"/>
    <mergeCell ref="I137:N137"/>
    <mergeCell ref="I138:N138"/>
    <mergeCell ref="I139:N139"/>
    <mergeCell ref="I140:N140"/>
    <mergeCell ref="I141:N141"/>
    <mergeCell ref="I142:N142"/>
    <mergeCell ref="I146:N146"/>
    <mergeCell ref="I147:N147"/>
    <mergeCell ref="A142:E142"/>
    <mergeCell ref="A143:E143"/>
    <mergeCell ref="A144:E144"/>
    <mergeCell ref="A145:E145"/>
    <mergeCell ref="I145:N145"/>
    <mergeCell ref="A146:E146"/>
    <mergeCell ref="A147:E147"/>
    <mergeCell ref="A100:A101"/>
    <mergeCell ref="B100:B101"/>
    <mergeCell ref="A103:A104"/>
    <mergeCell ref="B103:B104"/>
    <mergeCell ref="A108:A109"/>
    <mergeCell ref="B108:B109"/>
    <mergeCell ref="B111:B112"/>
    <mergeCell ref="B113:B114"/>
    <mergeCell ref="A111:A112"/>
    <mergeCell ref="A113:A114"/>
    <mergeCell ref="A118:A119"/>
    <mergeCell ref="B118:B119"/>
    <mergeCell ref="A120:A121"/>
    <mergeCell ref="B120:B121"/>
    <mergeCell ref="A123:A124"/>
    <mergeCell ref="I130:N130"/>
    <mergeCell ref="I131:N131"/>
    <mergeCell ref="B123:B124"/>
    <mergeCell ref="A128:N128"/>
    <mergeCell ref="A129:E129"/>
    <mergeCell ref="F129:H129"/>
    <mergeCell ref="I129:N129"/>
    <mergeCell ref="A130:E130"/>
    <mergeCell ref="A131:E131"/>
    <mergeCell ref="A132:E132"/>
    <mergeCell ref="I132:N132"/>
    <mergeCell ref="A133:E133"/>
    <mergeCell ref="I133:N133"/>
    <mergeCell ref="A134:E134"/>
    <mergeCell ref="I134:N134"/>
    <mergeCell ref="I135:N135"/>
    <mergeCell ref="A135:E135"/>
    <mergeCell ref="A136:E136"/>
    <mergeCell ref="A137:E137"/>
    <mergeCell ref="A138:E138"/>
    <mergeCell ref="A139:E139"/>
    <mergeCell ref="A140:E140"/>
    <mergeCell ref="A141:E141"/>
    <mergeCell ref="A148:E148"/>
    <mergeCell ref="I148:N148"/>
    <mergeCell ref="A149:E149"/>
    <mergeCell ref="I149:N149"/>
    <mergeCell ref="A150:E150"/>
    <mergeCell ref="I150:N150"/>
    <mergeCell ref="A151:E151"/>
    <mergeCell ref="I151:N151"/>
  </mergeCells>
  <conditionalFormatting sqref="H27 H37 H51:H52 H57 H64 H74 H90 H115">
    <cfRule type="containsText" dxfId="0" priority="1" operator="containsText" text="voor">
      <formula>NOT(ISERROR(SEARCH(("voor"),(H27))))</formula>
    </cfRule>
  </conditionalFormatting>
  <conditionalFormatting sqref="H27 H37 H51:H52 H57 H64 H74 H90 H115">
    <cfRule type="containsText" dxfId="1" priority="2" operator="containsText" text="tegen">
      <formula>NOT(ISERROR(SEARCH(("tegen"),(H27))))</formula>
    </cfRule>
  </conditionalFormatting>
  <drawing r:id="rId1"/>
</worksheet>
</file>

<file path=xl/worksheets/sheet2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CC4125"/>
    <outlinePr summaryBelow="0" summaryRight="0"/>
  </sheetPr>
  <sheetViews>
    <sheetView workbookViewId="0">
      <pane xSplit="3.0" ySplit="6.0" topLeftCell="D7" activePane="bottomRight" state="frozen"/>
      <selection activeCell="D1" sqref="D1" pane="topRight"/>
      <selection activeCell="A7" sqref="A7" pane="bottomLeft"/>
      <selection activeCell="D7" sqref="D7" pane="bottomRight"/>
    </sheetView>
  </sheetViews>
  <sheetFormatPr customHeight="1" defaultColWidth="14.43" defaultRowHeight="15.75"/>
  <cols>
    <col customWidth="1" min="1" max="1" width="10.86"/>
    <col customWidth="1" min="2" max="2" width="11.0"/>
    <col customWidth="1" min="3" max="3" width="26.29"/>
  </cols>
  <sheetData>
    <row r="1" ht="18.75" customHeight="1">
      <c r="A1" s="2501" t="s">
        <v>126</v>
      </c>
      <c r="B1" s="2502"/>
      <c r="C1" s="2502"/>
      <c r="D1" s="2502"/>
      <c r="E1" s="2502"/>
      <c r="F1" s="2502"/>
      <c r="G1" s="2503"/>
      <c r="H1" s="2503"/>
      <c r="I1" s="2503"/>
      <c r="J1" s="2503"/>
      <c r="K1" s="2503"/>
      <c r="L1" s="2503"/>
      <c r="M1" s="2503"/>
      <c r="N1" s="2503"/>
      <c r="O1" s="2504"/>
      <c r="P1" s="2504"/>
      <c r="Q1" s="2504"/>
      <c r="R1" s="2504"/>
      <c r="S1" s="2504"/>
      <c r="T1" s="2504"/>
      <c r="U1" s="2504"/>
      <c r="V1" s="2504"/>
      <c r="W1" s="2504"/>
      <c r="X1" s="2504"/>
      <c r="Y1" s="2504"/>
      <c r="Z1" s="2504"/>
      <c r="AA1" s="2504"/>
      <c r="AB1" s="2504"/>
      <c r="AC1" s="2504"/>
      <c r="AD1" s="2504"/>
      <c r="AE1" s="2504"/>
      <c r="AF1" s="2504"/>
      <c r="AG1" s="2504"/>
      <c r="AH1" s="2504"/>
      <c r="AI1" s="2504"/>
      <c r="AJ1" s="2504"/>
      <c r="AK1" s="2504"/>
      <c r="AL1" s="2504"/>
      <c r="AM1" s="2504"/>
      <c r="AN1" s="2504"/>
      <c r="AO1" s="2504"/>
      <c r="AP1" s="2504"/>
      <c r="AQ1" s="2504"/>
      <c r="AR1" s="2504"/>
      <c r="AS1" s="2504"/>
      <c r="AT1" s="2504"/>
      <c r="AU1" s="2504"/>
      <c r="AV1" s="2504"/>
      <c r="AW1" s="2504"/>
      <c r="AX1" s="2504"/>
      <c r="AY1" s="2504"/>
      <c r="AZ1" s="2504"/>
      <c r="BA1" s="2504"/>
    </row>
    <row r="2" ht="18.75" customHeight="1">
      <c r="A2" s="2505" t="s">
        <v>1030</v>
      </c>
      <c r="B2" s="131"/>
      <c r="C2" s="132"/>
      <c r="D2" s="2506" t="s">
        <v>1728</v>
      </c>
      <c r="E2" s="124"/>
      <c r="F2" s="124"/>
      <c r="G2" s="124"/>
      <c r="H2" s="124"/>
      <c r="I2" s="124"/>
      <c r="J2" s="124"/>
      <c r="K2" s="124"/>
      <c r="L2" s="124"/>
      <c r="M2" s="124"/>
      <c r="N2" s="124"/>
      <c r="O2" s="124"/>
      <c r="P2" s="124"/>
      <c r="Q2" s="124"/>
      <c r="R2" s="124"/>
      <c r="S2" s="124"/>
      <c r="T2" s="124"/>
      <c r="U2" s="124"/>
      <c r="V2" s="124"/>
      <c r="W2" s="124"/>
      <c r="X2" s="124"/>
      <c r="Y2" s="124"/>
      <c r="Z2" s="124"/>
      <c r="AA2" s="124"/>
      <c r="AB2" s="124"/>
      <c r="AC2" s="124"/>
      <c r="AD2" s="124"/>
      <c r="AE2" s="124"/>
      <c r="AF2" s="124"/>
      <c r="AG2" s="124"/>
      <c r="AH2" s="124"/>
      <c r="AI2" s="124"/>
      <c r="AJ2" s="124"/>
      <c r="AK2" s="124"/>
      <c r="AL2" s="124"/>
      <c r="AM2" s="124"/>
      <c r="AN2" s="124"/>
      <c r="AO2" s="124"/>
      <c r="AP2" s="124"/>
      <c r="AQ2" s="124"/>
      <c r="AR2" s="124"/>
      <c r="AS2" s="124"/>
      <c r="AT2" s="124"/>
      <c r="AU2" s="124"/>
      <c r="AV2" s="124"/>
      <c r="AW2" s="124"/>
      <c r="AX2" s="124"/>
      <c r="AY2" s="124"/>
      <c r="AZ2" s="124"/>
      <c r="BA2" s="20"/>
    </row>
    <row r="3" ht="18.75" customHeight="1">
      <c r="A3" s="2507" t="s">
        <v>1939</v>
      </c>
      <c r="C3" s="135"/>
      <c r="D3" s="43"/>
      <c r="BA3" s="44"/>
    </row>
    <row r="4" ht="18.75" customHeight="1">
      <c r="C4" s="135"/>
      <c r="D4" s="26"/>
      <c r="E4" s="330"/>
      <c r="F4" s="330"/>
      <c r="G4" s="330"/>
      <c r="H4" s="330"/>
      <c r="I4" s="330"/>
      <c r="J4" s="330"/>
      <c r="K4" s="330"/>
      <c r="L4" s="330"/>
      <c r="M4" s="330"/>
      <c r="N4" s="330"/>
      <c r="O4" s="330"/>
      <c r="P4" s="330"/>
      <c r="Q4" s="330"/>
      <c r="R4" s="330"/>
      <c r="S4" s="330"/>
      <c r="T4" s="330"/>
      <c r="U4" s="330"/>
      <c r="V4" s="330"/>
      <c r="W4" s="330"/>
      <c r="X4" s="330"/>
      <c r="Y4" s="330"/>
      <c r="Z4" s="330"/>
      <c r="AA4" s="330"/>
      <c r="AB4" s="330"/>
      <c r="AC4" s="330"/>
      <c r="AD4" s="330"/>
      <c r="AE4" s="330"/>
      <c r="AF4" s="330"/>
      <c r="AG4" s="330"/>
      <c r="AH4" s="330"/>
      <c r="AI4" s="330"/>
      <c r="AJ4" s="330"/>
      <c r="AK4" s="330"/>
      <c r="AL4" s="330"/>
      <c r="AM4" s="330"/>
      <c r="AN4" s="330"/>
      <c r="AO4" s="330"/>
      <c r="AP4" s="330"/>
      <c r="AQ4" s="330"/>
      <c r="AR4" s="330"/>
      <c r="AS4" s="330"/>
      <c r="AT4" s="330"/>
      <c r="AU4" s="330"/>
      <c r="AV4" s="330"/>
      <c r="AW4" s="330"/>
      <c r="AX4" s="330"/>
      <c r="AY4" s="330"/>
      <c r="AZ4" s="330"/>
      <c r="BA4" s="27"/>
    </row>
    <row r="5" ht="18.75" customHeight="1">
      <c r="A5" s="2508" t="s">
        <v>86</v>
      </c>
      <c r="B5" s="2509" t="s">
        <v>87</v>
      </c>
      <c r="C5" s="2510" t="s">
        <v>88</v>
      </c>
      <c r="D5" s="2511" t="str">
        <f>HYPERLINK("https://www.reddit.com/r/RMTK/comments/c8d1ja/m0076_motie_tot_uitdelen_oordoppen_bij_festivals/","M0076")</f>
        <v>M0076</v>
      </c>
      <c r="E5" s="2511" t="str">
        <f>HYPERLINK("https://www.reddit.com/r/RMTK/comments/c8rc1h/w0028_wetswijziging_tot_aanvulling_op_de_wet/","W0028")</f>
        <v>W0028</v>
      </c>
      <c r="F5" s="2511" t="str">
        <f>HYPERLINK("https://www.reddit.com/r/RMTK/comments/caneu6/m0077_motie_tot_opstellen_van_klimaatnota/","M0077")</f>
        <v>M0077</v>
      </c>
      <c r="G5" s="2511" t="str">
        <f>HYPERLINK("https://www.reddit.com/r/RMTK/comments/cb3edh/motie_tot_het_aanpakken_van_problemen_rondom_112/","M0078")</f>
        <v>M0078</v>
      </c>
      <c r="H5" s="2511" t="str">
        <f>HYPERLINK("https://www.reddit.com/r/RMTK/comments/cbwf92/m0079_motie_tot_uitvoering_m0050/","M0079")</f>
        <v>M0079</v>
      </c>
      <c r="I5" s="2511" t="str">
        <f>HYPERLINK("https://www.reddit.com/r/RMTK/comments/cbidty/w0029_wijziging_van_het_burgerlijk_wetboek_boek_1/","W0029")</f>
        <v>W0029</v>
      </c>
      <c r="J5" s="2511" t="str">
        <f>HYPERLINK("https://www.reddit.com/r/RMTK/comments/cdkiso/m0080_motie_tot_onderzoek_naar_circulair_maken/","M0080")</f>
        <v>M0080</v>
      </c>
      <c r="K5" s="2511" t="str">
        <f>HYPERLINK("https://www.reddit.com/r/RMTK/comments/cdxunf/m0081_motie_tot_versimpeling_belastingsysteem/","M0081")</f>
        <v>M0081</v>
      </c>
      <c r="L5" s="2511" t="str">
        <f>HYPERLINK("https://www.reddit.com/r/RMTK/comments/cee57r/w0025_tweede_lezingkoepelwet_kerncentrales/","W0025")</f>
        <v>W0025</v>
      </c>
      <c r="M5" s="2511" t="str">
        <f>HYPERLINK("https://www.reddit.com/r/RMTK/comments/cedsei/w0030_wijziging_van_het_burgerlijk_wetboek_boek_1/","W0030")</f>
        <v>W0030</v>
      </c>
      <c r="N5" s="2511" t="str">
        <f>HYPERLINK("https://www.reddit.com/r/RMTK/comments/cev17r/w0031_hernieuwde_klimaatwet_2019/","W0031")</f>
        <v>W0031</v>
      </c>
      <c r="O5" s="2512" t="str">
        <f>HYPERLINK("https://www.reddit.com/r/RMTK/comments/cgeui7/m0082_motie_tot_openbaar_maken_partijlidmaatschap/","M0082")</f>
        <v>M0082</v>
      </c>
      <c r="P5" s="2512" t="str">
        <f>HYPERLINK("https://www.reddit.com/r/RMTK/comments/cgx23i/m0083m0086_moties_ingediend_bij_debat_over_de/","M0083")</f>
        <v>M0083</v>
      </c>
      <c r="Q5" s="2512" t="str">
        <f>HYPERLINK("https://www.reddit.com/r/RMTK/comments/cgx23i/m0083m0086_moties_ingediend_bij_debat_over_de/","M0084")</f>
        <v>M0084</v>
      </c>
      <c r="R5" s="2512" t="str">
        <f>HYPERLINK("https://www.reddit.com/r/RMTK/comments/cgx23i/m0083m0086_moties_ingediend_bij_debat_over_de/","M0085")</f>
        <v>M0085</v>
      </c>
      <c r="S5" s="2512" t="str">
        <f>HYPERLINK("https://www.reddit.com/r/RMTK/comments/cgx23i/m0083m0086_moties_ingediend_bij_debat_over_de/","M0086")</f>
        <v>M0086</v>
      </c>
      <c r="T5" s="2512" t="str">
        <f>HYPERLINK("https://www.reddit.com/r/RMTK/comments/cgx44w/m0087_motie_verduidelijking_en_samenvoeging/","M0087")</f>
        <v>M0087</v>
      </c>
      <c r="U5" s="2512" t="str">
        <f>HYPERLINK("https://www.reddit.com/r/RMTK/comments/chp5na/m0088_motie_tot_verandering_regelgeving_regeling/","M0088")</f>
        <v>M0088</v>
      </c>
      <c r="V5" s="2512" t="str">
        <f>HYPERLINK("https://www.reddit.com/r/RMTK/comments/cgethq/wetsvoorstel_tot_budgettaire_begroting/","W0032")</f>
        <v>W0032</v>
      </c>
      <c r="W5" s="2512" t="str">
        <f>HYPERLINK("https://www.reddit.com/r/RMTK/comments/cj9vrz/m0089_motie_met_het_verzoek_om_informatie_over/","M0089")</f>
        <v>M0089</v>
      </c>
      <c r="X5" s="2512" t="str">
        <f>HYPERLINK("https://www.reddit.com/r/RMTK/comments/ckamkr/m0090_motie_tot_organisatie_van_een_diplomatieke/","M0090")</f>
        <v>M0090</v>
      </c>
      <c r="Y5" s="2512" t="str">
        <f>HYPERLINK("https://www.reddit.com/r/RMTK/comments/ckpx42/m0091_motie_tot_erkenning_van_een_derde_geslacht/","M0091")</f>
        <v>M0091</v>
      </c>
      <c r="Z5" s="2512" t="str">
        <f>HYPERLINK("https://www.reddit.com/r/RMTK/comments/cjbw7f/w0033i_amendement_op_wet_erkenning_recht_op/","W0033-I")</f>
        <v>W0033-I</v>
      </c>
      <c r="AA5" s="2512" t="str">
        <f>HYPERLINK("https://www.reddit.com/r/RMTK/comments/ciktf7/w0034_wet_lobbyverbod/","W0034")</f>
        <v>W0034</v>
      </c>
      <c r="AB5" s="2512" t="str">
        <f>HYPERLINK("https://www.reddit.com/r/RMTK/comments/cn3gr4/m0092_motie_tot_het_cre%C3%ABren_van_beschutte/","M0092")</f>
        <v>M0092</v>
      </c>
      <c r="AC5" s="2512" t="str">
        <f>HYPERLINK("https://www.reddit.com/r/RMTK/comments/cn3hgk/m0093_motie_tot_verdere_privatisering_abn_amro/","M0093")</f>
        <v>M0093</v>
      </c>
      <c r="AD5" s="2512" t="str">
        <f>HYPERLINK("https://www.reddit.com/r/RMTK/comments/ch9l69/w0033_wet_erkenning_recht_op_voltooid_leven/","W0033")</f>
        <v>W0033</v>
      </c>
      <c r="AE5" s="2512" t="str">
        <f>HYPERLINK("https://www.reddit.com/r/RMTK/comments/clxgpr/w0035i_amendement_op_wet_belasting_op_grote/","W0035-I")</f>
        <v>W0035-I</v>
      </c>
      <c r="AF5" s="2512" t="str">
        <f>HYPERLINK("https://www.reddit.com/r/RMTK/comments/cpw0f0/m0094_motie_vrijgezellenbelasting/","M0094")</f>
        <v>M0094</v>
      </c>
      <c r="AG5" s="2512" t="str">
        <f>HYPERLINK("https://www.reddit.com/r/RMTK/comments/cqh410/m0095m0096_moties_over_datalek_rdw/","M0095")</f>
        <v>M0095</v>
      </c>
      <c r="AH5" s="2512" t="str">
        <f>HYPERLINK("https://www.reddit.com/r/RMTK/comments/cqh410/m0095m0096_moties_over_datalek_rdw/","M0096")</f>
        <v>M0096</v>
      </c>
      <c r="AI5" s="2512" t="str">
        <f>HYPERLINK("https://www.reddit.com/r/RMTK/comments/cr3z5o/m0097_motie_tot_evaluatie_van/","M0097")</f>
        <v>M0097</v>
      </c>
      <c r="AJ5" s="2512" t="str">
        <f>HYPERLINK("https://www.reddit.com/r/RMTK/comments/csznc1/m0098_motie_tot_onderzoek_doen_naar_een/","M0098")</f>
        <v>M0098</v>
      </c>
      <c r="AK5" s="2512" t="str">
        <f>HYPERLINK("https://www.reddit.com/r/RMTK/comments/ctxz1e/m0099_motie_tot_reductie_verdrinkingsdoden/","M0099")</f>
        <v>M0099</v>
      </c>
      <c r="AL5" s="2512" t="str">
        <f>HYPERLINK("https://www.reddit.com/r/RMTK/comments/cvous8/m0100_motie_tot_cre%C3%ABren_vergunning_voor_bezit/","M0100")</f>
        <v>M0100</v>
      </c>
      <c r="AM5" s="2512" t="str">
        <f>HYPERLINK("https://www.reddit.com/r/RMTK/comments/cw5pmx/m0101_motie_tot_boycot_van_fout_vlees_en_foute/","M0101")</f>
        <v>M0101</v>
      </c>
      <c r="AN5" s="2512" t="str">
        <f>HYPERLINK("https://www.reddit.com/r/RMTK/comments/cwp79y/w0036_wet_ter_erkenning_van_de_nederlandse/","W0036")</f>
        <v>W0036</v>
      </c>
      <c r="AO5" s="2512" t="str">
        <f>HYPERLINK("https://www.reddit.com/r/RMTK/comments/cx11b8/w0037_wetswijziging_wet_op_de_omzetbelasting_1968/","W0037")</f>
        <v>W0037</v>
      </c>
      <c r="AP5" s="2512" t="str">
        <f>HYPERLINK("https://www.reddit.com/r/RMTK/comments/cz88o9/m0102_motie_tot_gratis_maken_ov/","M0102")</f>
        <v>M0102</v>
      </c>
      <c r="AQ5" s="2512" t="str">
        <f>HYPERLINK("https://www.reddit.com/r/RMTK/comments/czpknp/m0103_motie_tot_herbenoeming_burgemeester_van/","M0103")</f>
        <v>M0103</v>
      </c>
      <c r="AR5" s="2512" t="str">
        <f>HYPERLINK("https://www.reddit.com/r/RMTK/comments/cyt6r7/w0038_wetsvoorstel_tot_wijziging_van_de_wet_op_de/","W0038")</f>
        <v>W0038</v>
      </c>
      <c r="AS5" s="2512" t="str">
        <f>HYPERLINK("https://www.reddit.com/r/RMTK/comments/d0it9u/m0104_motie_ter_bevordering_van_het_frysk_en/","M0104")</f>
        <v>M0104</v>
      </c>
      <c r="AT5" s="2512" t="str">
        <f>HYPERLINK("https://www.reddit.com/r/RMTK/comments/d2x07x/m0105_motie_tot_europese_samenwerking_op_het/","M0105")</f>
        <v>M0105</v>
      </c>
      <c r="AU5" s="2512" t="str">
        <f>HYPERLINK("https://www.reddit.com/r/RMTK/comments/d2x1rb/m0106_motie_tot_verbeteren_voedselveiligheid/","M0106")</f>
        <v>M0106</v>
      </c>
      <c r="AV5" s="2512" t="str">
        <f>HYPERLINK("https://www.reddit.com/r/RMTK/comments/d37gxt/m0107_motie_tot_gelijk_visumbeleid_door_de/","M0107")</f>
        <v>M0107</v>
      </c>
      <c r="AW5" s="2512" t="str">
        <f>HYPERLINK("https://www.reddit.com/r/RMTK/comments/d55568/m0108_voorwaardelijke_motie_van_wantrouwen_jegens/","M0108")</f>
        <v>M0108</v>
      </c>
      <c r="AX5" s="2512" t="str">
        <f>HYPERLINK("https://www.reddit.com/r/RMTK/comments/d5jbj5/m0109_motie_tot_gelijkstelling_vrijstelling_op/","M0109")</f>
        <v>M0109</v>
      </c>
      <c r="AY5" s="2512" t="str">
        <f>HYPERLINK("https://www.reddit.com/r/RMTK/comments/d6jhpf/m0110_motie_tot_aanpassing_van_het_vuurwerkbesluit/","M0110")</f>
        <v>M0110</v>
      </c>
      <c r="AZ5" s="2512" t="str">
        <f>HYPERLINK("https://www.reddit.com/r/RMTK/comments/d57042/w0039i_amendement_wetsvoorstel_versoepeling/","W0039-I")</f>
        <v>W0039-I</v>
      </c>
      <c r="BA5" s="2512" t="str">
        <f>HYPERLINK("https://www.reddit.com/r/RMTK/comments/d6jji7/w0040_wet_register_openbare_hygi%C3%ABne_en/","W0040")</f>
        <v>W0040</v>
      </c>
    </row>
    <row r="6" ht="6.0" customHeight="1">
      <c r="A6" s="2513"/>
      <c r="B6" s="2513"/>
      <c r="C6" s="2514"/>
      <c r="D6" s="2515"/>
      <c r="E6" s="2516"/>
      <c r="F6" s="2513"/>
      <c r="G6" s="2513"/>
      <c r="H6" s="2513"/>
      <c r="I6" s="2516"/>
      <c r="J6" s="2513"/>
      <c r="K6" s="2513"/>
      <c r="L6" s="2513"/>
      <c r="M6" s="2513"/>
      <c r="N6" s="2516"/>
      <c r="O6" s="2517"/>
      <c r="P6" s="2517"/>
      <c r="Q6" s="2517"/>
      <c r="R6" s="2517"/>
      <c r="S6" s="2517"/>
      <c r="T6" s="2517"/>
      <c r="U6" s="2517"/>
      <c r="V6" s="2518"/>
      <c r="W6" s="2517"/>
      <c r="X6" s="2517"/>
      <c r="Y6" s="2517"/>
      <c r="Z6" s="2517"/>
      <c r="AA6" s="2518"/>
      <c r="AB6" s="2517"/>
      <c r="AC6" s="2517"/>
      <c r="AD6" s="2517"/>
      <c r="AE6" s="2518"/>
      <c r="AF6" s="2517"/>
      <c r="AG6" s="2517"/>
      <c r="AH6" s="2517"/>
      <c r="AI6" s="2518"/>
      <c r="AJ6" s="2517"/>
      <c r="AK6" s="2518"/>
      <c r="AL6" s="2517"/>
      <c r="AM6" s="2517"/>
      <c r="AN6" s="2517"/>
      <c r="AO6" s="2518"/>
      <c r="AP6" s="2517"/>
      <c r="AQ6" s="2517"/>
      <c r="AR6" s="2518"/>
      <c r="AS6" s="2517"/>
      <c r="AT6" s="2517"/>
      <c r="AU6" s="2517"/>
      <c r="AV6" s="2518"/>
      <c r="AW6" s="2517"/>
      <c r="AX6" s="2517"/>
      <c r="AY6" s="2517"/>
      <c r="AZ6" s="2517"/>
      <c r="BA6" s="2517"/>
    </row>
    <row r="7" ht="18.75" customHeight="1">
      <c r="A7" s="2519" t="s">
        <v>1940</v>
      </c>
      <c r="B7" s="2520" t="s">
        <v>31</v>
      </c>
      <c r="C7" s="2521" t="s">
        <v>111</v>
      </c>
      <c r="D7" s="2522" t="s">
        <v>91</v>
      </c>
      <c r="E7" s="2523" t="s">
        <v>91</v>
      </c>
      <c r="F7" s="2522" t="s">
        <v>92</v>
      </c>
      <c r="G7" s="2522" t="s">
        <v>91</v>
      </c>
      <c r="H7" s="2522" t="s">
        <v>92</v>
      </c>
      <c r="I7" s="2523" t="s">
        <v>92</v>
      </c>
      <c r="J7" s="2522" t="s">
        <v>91</v>
      </c>
      <c r="K7" s="2522" t="s">
        <v>91</v>
      </c>
      <c r="L7" s="2522" t="s">
        <v>91</v>
      </c>
      <c r="M7" s="2522" t="s">
        <v>91</v>
      </c>
      <c r="N7" s="2523" t="s">
        <v>91</v>
      </c>
      <c r="O7" s="2522" t="s">
        <v>92</v>
      </c>
      <c r="P7" s="2522" t="s">
        <v>91</v>
      </c>
      <c r="Q7" s="2522" t="s">
        <v>91</v>
      </c>
      <c r="R7" s="2522" t="s">
        <v>91</v>
      </c>
      <c r="S7" s="2522" t="s">
        <v>91</v>
      </c>
      <c r="T7" s="2522" t="s">
        <v>91</v>
      </c>
      <c r="U7" s="2522" t="s">
        <v>91</v>
      </c>
      <c r="V7" s="2523" t="s">
        <v>91</v>
      </c>
      <c r="W7" s="2522" t="s">
        <v>92</v>
      </c>
      <c r="X7" s="2522" t="s">
        <v>92</v>
      </c>
      <c r="Y7" s="2522" t="s">
        <v>91</v>
      </c>
      <c r="Z7" s="2522" t="s">
        <v>92</v>
      </c>
      <c r="AA7" s="2523" t="s">
        <v>92</v>
      </c>
      <c r="AB7" s="2522" t="s">
        <v>91</v>
      </c>
      <c r="AC7" s="2522" t="s">
        <v>92</v>
      </c>
      <c r="AD7" s="2522" t="s">
        <v>91</v>
      </c>
      <c r="AE7" s="2523" t="s">
        <v>91</v>
      </c>
      <c r="AF7" s="2522" t="s">
        <v>92</v>
      </c>
      <c r="AG7" s="2522" t="s">
        <v>91</v>
      </c>
      <c r="AH7" s="2522" t="s">
        <v>91</v>
      </c>
      <c r="AI7" s="2523" t="s">
        <v>91</v>
      </c>
      <c r="AJ7" s="2524" t="s">
        <v>91</v>
      </c>
      <c r="AK7" s="2525" t="s">
        <v>91</v>
      </c>
      <c r="AL7" s="2522" t="s">
        <v>92</v>
      </c>
      <c r="AM7" s="2522" t="s">
        <v>91</v>
      </c>
      <c r="AN7" s="2522" t="s">
        <v>91</v>
      </c>
      <c r="AO7" s="2523" t="s">
        <v>92</v>
      </c>
      <c r="AP7" s="2522" t="s">
        <v>117</v>
      </c>
      <c r="AQ7" s="2522" t="s">
        <v>92</v>
      </c>
      <c r="AR7" s="2523" t="s">
        <v>91</v>
      </c>
      <c r="AS7" s="2522" t="s">
        <v>91</v>
      </c>
      <c r="AT7" s="2522" t="s">
        <v>91</v>
      </c>
      <c r="AU7" s="2522" t="s">
        <v>91</v>
      </c>
      <c r="AV7" s="2523" t="s">
        <v>91</v>
      </c>
      <c r="AW7" s="2522" t="s">
        <v>92</v>
      </c>
      <c r="AX7" s="2522" t="s">
        <v>92</v>
      </c>
      <c r="AY7" s="2522" t="s">
        <v>91</v>
      </c>
      <c r="AZ7" s="2522" t="s">
        <v>91</v>
      </c>
      <c r="BA7" s="2522" t="s">
        <v>91</v>
      </c>
    </row>
    <row r="8" ht="18.75" customHeight="1">
      <c r="A8" s="158"/>
      <c r="B8" s="813"/>
      <c r="C8" s="2526" t="s">
        <v>282</v>
      </c>
      <c r="D8" s="2522" t="s">
        <v>91</v>
      </c>
      <c r="E8" s="2523" t="s">
        <v>91</v>
      </c>
      <c r="F8" s="2522" t="s">
        <v>92</v>
      </c>
      <c r="G8" s="2522" t="s">
        <v>91</v>
      </c>
      <c r="H8" s="2522" t="s">
        <v>92</v>
      </c>
      <c r="I8" s="2523" t="s">
        <v>92</v>
      </c>
      <c r="J8" s="2522" t="s">
        <v>91</v>
      </c>
      <c r="K8" s="2522" t="s">
        <v>91</v>
      </c>
      <c r="L8" s="2522" t="s">
        <v>91</v>
      </c>
      <c r="M8" s="2522" t="s">
        <v>91</v>
      </c>
      <c r="N8" s="2523" t="s">
        <v>91</v>
      </c>
      <c r="O8" s="2522" t="s">
        <v>92</v>
      </c>
      <c r="P8" s="2522" t="s">
        <v>91</v>
      </c>
      <c r="Q8" s="2522" t="s">
        <v>91</v>
      </c>
      <c r="R8" s="2522" t="s">
        <v>91</v>
      </c>
      <c r="S8" s="2522" t="s">
        <v>91</v>
      </c>
      <c r="T8" s="2522" t="s">
        <v>91</v>
      </c>
      <c r="U8" s="2522" t="s">
        <v>91</v>
      </c>
      <c r="V8" s="2523" t="s">
        <v>91</v>
      </c>
      <c r="W8" s="2522" t="s">
        <v>92</v>
      </c>
      <c r="X8" s="2522" t="s">
        <v>91</v>
      </c>
      <c r="Y8" s="2522" t="s">
        <v>91</v>
      </c>
      <c r="Z8" s="2522" t="s">
        <v>91</v>
      </c>
      <c r="AA8" s="2523" t="s">
        <v>92</v>
      </c>
      <c r="AB8" s="2522" t="s">
        <v>91</v>
      </c>
      <c r="AC8" s="2522" t="s">
        <v>92</v>
      </c>
      <c r="AD8" s="2522" t="s">
        <v>91</v>
      </c>
      <c r="AE8" s="2523" t="s">
        <v>92</v>
      </c>
      <c r="AF8" s="2522" t="s">
        <v>92</v>
      </c>
      <c r="AG8" s="2522" t="s">
        <v>91</v>
      </c>
      <c r="AH8" s="2522" t="s">
        <v>91</v>
      </c>
      <c r="AI8" s="2523" t="s">
        <v>91</v>
      </c>
      <c r="AJ8" s="2527" t="s">
        <v>93</v>
      </c>
      <c r="AK8" s="2528" t="s">
        <v>93</v>
      </c>
      <c r="AL8" s="2522" t="s">
        <v>92</v>
      </c>
      <c r="AM8" s="2522" t="s">
        <v>91</v>
      </c>
      <c r="AN8" s="2522" t="s">
        <v>91</v>
      </c>
      <c r="AO8" s="2523" t="s">
        <v>92</v>
      </c>
      <c r="AP8" s="2522" t="s">
        <v>91</v>
      </c>
      <c r="AQ8" s="2522" t="s">
        <v>92</v>
      </c>
      <c r="AR8" s="2523" t="s">
        <v>91</v>
      </c>
      <c r="AS8" s="2522" t="s">
        <v>93</v>
      </c>
      <c r="AT8" s="2522" t="s">
        <v>93</v>
      </c>
      <c r="AU8" s="2522" t="s">
        <v>93</v>
      </c>
      <c r="AV8" s="2523" t="s">
        <v>93</v>
      </c>
      <c r="AW8" s="2522" t="s">
        <v>92</v>
      </c>
      <c r="AX8" s="2522" t="s">
        <v>92</v>
      </c>
      <c r="AY8" s="2522" t="s">
        <v>91</v>
      </c>
      <c r="AZ8" s="2522" t="s">
        <v>91</v>
      </c>
      <c r="BA8" s="2522" t="s">
        <v>91</v>
      </c>
    </row>
    <row r="9" ht="18.75" customHeight="1">
      <c r="A9" s="158"/>
      <c r="B9" s="813"/>
      <c r="C9" s="2526" t="s">
        <v>1341</v>
      </c>
      <c r="D9" s="2522" t="s">
        <v>91</v>
      </c>
      <c r="E9" s="2523" t="s">
        <v>91</v>
      </c>
      <c r="F9" s="2522" t="s">
        <v>92</v>
      </c>
      <c r="G9" s="2522" t="s">
        <v>91</v>
      </c>
      <c r="H9" s="2522" t="s">
        <v>92</v>
      </c>
      <c r="I9" s="2523" t="s">
        <v>92</v>
      </c>
      <c r="J9" s="2522" t="s">
        <v>91</v>
      </c>
      <c r="K9" s="2522" t="s">
        <v>91</v>
      </c>
      <c r="L9" s="2522" t="s">
        <v>91</v>
      </c>
      <c r="M9" s="2522" t="s">
        <v>91</v>
      </c>
      <c r="N9" s="2523" t="s">
        <v>91</v>
      </c>
      <c r="O9" s="2522" t="s">
        <v>92</v>
      </c>
      <c r="P9" s="2522" t="s">
        <v>91</v>
      </c>
      <c r="Q9" s="2522" t="s">
        <v>91</v>
      </c>
      <c r="R9" s="2522" t="s">
        <v>91</v>
      </c>
      <c r="S9" s="2522" t="s">
        <v>91</v>
      </c>
      <c r="T9" s="2522" t="s">
        <v>91</v>
      </c>
      <c r="U9" s="2522" t="s">
        <v>91</v>
      </c>
      <c r="V9" s="2523" t="s">
        <v>91</v>
      </c>
      <c r="W9" s="2522" t="s">
        <v>92</v>
      </c>
      <c r="X9" s="2522" t="s">
        <v>92</v>
      </c>
      <c r="Y9" s="2522" t="s">
        <v>91</v>
      </c>
      <c r="Z9" s="2522" t="s">
        <v>91</v>
      </c>
      <c r="AA9" s="2523" t="s">
        <v>92</v>
      </c>
      <c r="AB9" s="2522" t="s">
        <v>91</v>
      </c>
      <c r="AC9" s="2522" t="s">
        <v>92</v>
      </c>
      <c r="AD9" s="2522" t="s">
        <v>91</v>
      </c>
      <c r="AE9" s="2523" t="s">
        <v>91</v>
      </c>
      <c r="AF9" s="2522" t="s">
        <v>92</v>
      </c>
      <c r="AG9" s="2522" t="s">
        <v>91</v>
      </c>
      <c r="AH9" s="2522" t="s">
        <v>91</v>
      </c>
      <c r="AI9" s="2523" t="s">
        <v>91</v>
      </c>
      <c r="AJ9" s="2527" t="s">
        <v>93</v>
      </c>
      <c r="AK9" s="2528" t="s">
        <v>93</v>
      </c>
      <c r="AL9" s="2522" t="s">
        <v>92</v>
      </c>
      <c r="AM9" s="2522" t="s">
        <v>91</v>
      </c>
      <c r="AN9" s="2522" t="s">
        <v>91</v>
      </c>
      <c r="AO9" s="2523" t="s">
        <v>92</v>
      </c>
      <c r="AP9" s="2522" t="s">
        <v>117</v>
      </c>
      <c r="AQ9" s="2522" t="s">
        <v>92</v>
      </c>
      <c r="AR9" s="2523" t="s">
        <v>91</v>
      </c>
      <c r="AS9" s="2522" t="s">
        <v>91</v>
      </c>
      <c r="AT9" s="2522" t="s">
        <v>91</v>
      </c>
      <c r="AU9" s="2522" t="s">
        <v>91</v>
      </c>
      <c r="AV9" s="2523" t="s">
        <v>91</v>
      </c>
      <c r="AW9" s="2522" t="s">
        <v>92</v>
      </c>
      <c r="AX9" s="2522" t="s">
        <v>92</v>
      </c>
      <c r="AY9" s="2522" t="s">
        <v>91</v>
      </c>
      <c r="AZ9" s="2522" t="s">
        <v>91</v>
      </c>
      <c r="BA9" s="2522" t="s">
        <v>91</v>
      </c>
    </row>
    <row r="10" ht="18.75" customHeight="1">
      <c r="A10" s="158"/>
      <c r="B10" s="813"/>
      <c r="C10" s="2529" t="s">
        <v>260</v>
      </c>
      <c r="D10" s="2522" t="s">
        <v>92</v>
      </c>
      <c r="E10" s="2523" t="s">
        <v>91</v>
      </c>
      <c r="F10" s="2522" t="s">
        <v>92</v>
      </c>
      <c r="G10" s="2522" t="s">
        <v>91</v>
      </c>
      <c r="H10" s="2522" t="s">
        <v>92</v>
      </c>
      <c r="I10" s="2523" t="s">
        <v>91</v>
      </c>
      <c r="J10" s="2522" t="s">
        <v>91</v>
      </c>
      <c r="K10" s="2522" t="s">
        <v>91</v>
      </c>
      <c r="L10" s="2522" t="s">
        <v>91</v>
      </c>
      <c r="M10" s="2522" t="s">
        <v>91</v>
      </c>
      <c r="N10" s="2523" t="s">
        <v>91</v>
      </c>
      <c r="O10" s="2522" t="s">
        <v>118</v>
      </c>
      <c r="P10" s="2522" t="s">
        <v>118</v>
      </c>
      <c r="Q10" s="2522" t="s">
        <v>118</v>
      </c>
      <c r="R10" s="2522" t="s">
        <v>118</v>
      </c>
      <c r="S10" s="2522" t="s">
        <v>118</v>
      </c>
      <c r="T10" s="2522" t="s">
        <v>118</v>
      </c>
      <c r="U10" s="2522" t="s">
        <v>118</v>
      </c>
      <c r="V10" s="2523" t="s">
        <v>118</v>
      </c>
      <c r="W10" s="2522" t="s">
        <v>118</v>
      </c>
      <c r="X10" s="2522" t="s">
        <v>118</v>
      </c>
      <c r="Y10" s="2522" t="s">
        <v>118</v>
      </c>
      <c r="Z10" s="2522" t="s">
        <v>118</v>
      </c>
      <c r="AA10" s="2523" t="s">
        <v>118</v>
      </c>
      <c r="AB10" s="2522" t="s">
        <v>118</v>
      </c>
      <c r="AC10" s="2522" t="s">
        <v>118</v>
      </c>
      <c r="AD10" s="2522" t="s">
        <v>118</v>
      </c>
      <c r="AE10" s="2523" t="s">
        <v>118</v>
      </c>
      <c r="AF10" s="2522" t="s">
        <v>118</v>
      </c>
      <c r="AG10" s="2522" t="s">
        <v>118</v>
      </c>
      <c r="AH10" s="2522" t="s">
        <v>118</v>
      </c>
      <c r="AI10" s="2523" t="s">
        <v>118</v>
      </c>
      <c r="AJ10" s="2530" t="s">
        <v>118</v>
      </c>
      <c r="AK10" s="2531" t="s">
        <v>118</v>
      </c>
      <c r="AL10" s="2522" t="s">
        <v>118</v>
      </c>
      <c r="AM10" s="2522" t="s">
        <v>118</v>
      </c>
      <c r="AN10" s="2522" t="s">
        <v>118</v>
      </c>
      <c r="AO10" s="2523" t="s">
        <v>118</v>
      </c>
      <c r="AP10" s="2522" t="s">
        <v>118</v>
      </c>
      <c r="AQ10" s="2522" t="s">
        <v>118</v>
      </c>
      <c r="AR10" s="2523" t="s">
        <v>118</v>
      </c>
      <c r="AS10" s="2522" t="s">
        <v>118</v>
      </c>
      <c r="AT10" s="2522" t="s">
        <v>118</v>
      </c>
      <c r="AU10" s="2522" t="s">
        <v>118</v>
      </c>
      <c r="AV10" s="2523" t="s">
        <v>118</v>
      </c>
      <c r="AW10" s="2522" t="s">
        <v>118</v>
      </c>
      <c r="AX10" s="2522" t="s">
        <v>118</v>
      </c>
      <c r="AY10" s="2522" t="s">
        <v>118</v>
      </c>
      <c r="AZ10" s="2522" t="s">
        <v>118</v>
      </c>
      <c r="BA10" s="2522" t="s">
        <v>118</v>
      </c>
    </row>
    <row r="11" ht="18.75" customHeight="1">
      <c r="A11" s="158"/>
      <c r="B11" s="813"/>
      <c r="C11" s="2532" t="s">
        <v>1346</v>
      </c>
      <c r="D11" s="2522" t="s">
        <v>118</v>
      </c>
      <c r="E11" s="2523" t="s">
        <v>118</v>
      </c>
      <c r="F11" s="2522" t="s">
        <v>118</v>
      </c>
      <c r="G11" s="2522" t="s">
        <v>118</v>
      </c>
      <c r="H11" s="2522" t="s">
        <v>118</v>
      </c>
      <c r="I11" s="2523" t="s">
        <v>118</v>
      </c>
      <c r="J11" s="2522" t="s">
        <v>118</v>
      </c>
      <c r="K11" s="2522" t="s">
        <v>118</v>
      </c>
      <c r="L11" s="2522" t="s">
        <v>118</v>
      </c>
      <c r="M11" s="2522" t="s">
        <v>118</v>
      </c>
      <c r="N11" s="2523" t="s">
        <v>118</v>
      </c>
      <c r="O11" s="2533" t="s">
        <v>92</v>
      </c>
      <c r="P11" s="2534" t="s">
        <v>91</v>
      </c>
      <c r="Q11" s="2534" t="s">
        <v>91</v>
      </c>
      <c r="R11" s="2534" t="s">
        <v>91</v>
      </c>
      <c r="S11" s="2534" t="s">
        <v>91</v>
      </c>
      <c r="T11" s="2534" t="s">
        <v>91</v>
      </c>
      <c r="U11" s="2534" t="s">
        <v>91</v>
      </c>
      <c r="V11" s="2535" t="s">
        <v>91</v>
      </c>
      <c r="W11" s="2522" t="s">
        <v>92</v>
      </c>
      <c r="X11" s="2522" t="s">
        <v>91</v>
      </c>
      <c r="Y11" s="2522" t="s">
        <v>91</v>
      </c>
      <c r="Z11" s="2522" t="s">
        <v>91</v>
      </c>
      <c r="AA11" s="2523" t="s">
        <v>92</v>
      </c>
      <c r="AB11" s="2522" t="s">
        <v>91</v>
      </c>
      <c r="AC11" s="2522" t="s">
        <v>92</v>
      </c>
      <c r="AD11" s="2522" t="s">
        <v>91</v>
      </c>
      <c r="AE11" s="2523" t="s">
        <v>91</v>
      </c>
      <c r="AF11" s="2522" t="s">
        <v>92</v>
      </c>
      <c r="AG11" s="2522" t="s">
        <v>91</v>
      </c>
      <c r="AH11" s="2522" t="s">
        <v>91</v>
      </c>
      <c r="AI11" s="2523" t="s">
        <v>91</v>
      </c>
      <c r="AJ11" s="2536" t="s">
        <v>91</v>
      </c>
      <c r="AK11" s="2537" t="s">
        <v>91</v>
      </c>
      <c r="AL11" s="2522" t="s">
        <v>92</v>
      </c>
      <c r="AM11" s="2522" t="s">
        <v>91</v>
      </c>
      <c r="AN11" s="2522" t="s">
        <v>91</v>
      </c>
      <c r="AO11" s="2523" t="s">
        <v>92</v>
      </c>
      <c r="AP11" s="2522" t="s">
        <v>92</v>
      </c>
      <c r="AQ11" s="2522" t="s">
        <v>92</v>
      </c>
      <c r="AR11" s="2523" t="s">
        <v>91</v>
      </c>
      <c r="AS11" s="2522" t="s">
        <v>91</v>
      </c>
      <c r="AT11" s="2522" t="s">
        <v>91</v>
      </c>
      <c r="AU11" s="2522" t="s">
        <v>91</v>
      </c>
      <c r="AV11" s="2523" t="s">
        <v>91</v>
      </c>
      <c r="AW11" s="2522" t="s">
        <v>92</v>
      </c>
      <c r="AX11" s="2522" t="s">
        <v>92</v>
      </c>
      <c r="AY11" s="2522" t="s">
        <v>91</v>
      </c>
      <c r="AZ11" s="2522" t="s">
        <v>91</v>
      </c>
      <c r="BA11" s="2522" t="s">
        <v>91</v>
      </c>
    </row>
    <row r="12" ht="18.75" customHeight="1">
      <c r="A12" s="158"/>
      <c r="B12" s="813"/>
      <c r="C12" s="2529" t="s">
        <v>25</v>
      </c>
      <c r="D12" s="2522" t="s">
        <v>91</v>
      </c>
      <c r="E12" s="2523" t="s">
        <v>91</v>
      </c>
      <c r="F12" s="2522" t="s">
        <v>92</v>
      </c>
      <c r="G12" s="2522" t="s">
        <v>91</v>
      </c>
      <c r="H12" s="2522" t="s">
        <v>92</v>
      </c>
      <c r="I12" s="2523" t="s">
        <v>92</v>
      </c>
      <c r="J12" s="2522" t="s">
        <v>91</v>
      </c>
      <c r="K12" s="2522" t="s">
        <v>91</v>
      </c>
      <c r="L12" s="2522" t="s">
        <v>91</v>
      </c>
      <c r="M12" s="2522" t="s">
        <v>91</v>
      </c>
      <c r="N12" s="2523" t="s">
        <v>91</v>
      </c>
      <c r="O12" s="2522" t="s">
        <v>92</v>
      </c>
      <c r="P12" s="2522" t="s">
        <v>91</v>
      </c>
      <c r="Q12" s="2522" t="s">
        <v>91</v>
      </c>
      <c r="R12" s="2522" t="s">
        <v>91</v>
      </c>
      <c r="S12" s="2522" t="s">
        <v>91</v>
      </c>
      <c r="T12" s="2522" t="s">
        <v>91</v>
      </c>
      <c r="U12" s="2522" t="s">
        <v>91</v>
      </c>
      <c r="V12" s="2523" t="s">
        <v>91</v>
      </c>
      <c r="W12" s="2522" t="s">
        <v>92</v>
      </c>
      <c r="X12" s="2522" t="s">
        <v>91</v>
      </c>
      <c r="Y12" s="2522" t="s">
        <v>91</v>
      </c>
      <c r="Z12" s="2522" t="s">
        <v>92</v>
      </c>
      <c r="AA12" s="2523" t="s">
        <v>92</v>
      </c>
      <c r="AB12" s="2522" t="s">
        <v>91</v>
      </c>
      <c r="AC12" s="2522" t="s">
        <v>92</v>
      </c>
      <c r="AD12" s="2522" t="s">
        <v>91</v>
      </c>
      <c r="AE12" s="2523" t="s">
        <v>91</v>
      </c>
      <c r="AF12" s="2522" t="s">
        <v>92</v>
      </c>
      <c r="AG12" s="2522" t="s">
        <v>91</v>
      </c>
      <c r="AH12" s="2522" t="s">
        <v>91</v>
      </c>
      <c r="AI12" s="2523" t="s">
        <v>91</v>
      </c>
      <c r="AJ12" s="2530" t="s">
        <v>118</v>
      </c>
      <c r="AK12" s="2531" t="s">
        <v>118</v>
      </c>
      <c r="AL12" s="2522" t="s">
        <v>118</v>
      </c>
      <c r="AM12" s="2522" t="s">
        <v>118</v>
      </c>
      <c r="AN12" s="2522" t="s">
        <v>118</v>
      </c>
      <c r="AO12" s="2523" t="s">
        <v>118</v>
      </c>
      <c r="AP12" s="2522" t="s">
        <v>118</v>
      </c>
      <c r="AQ12" s="2522" t="s">
        <v>118</v>
      </c>
      <c r="AR12" s="2523" t="s">
        <v>118</v>
      </c>
      <c r="AS12" s="2522" t="s">
        <v>118</v>
      </c>
      <c r="AT12" s="2522" t="s">
        <v>118</v>
      </c>
      <c r="AU12" s="2522" t="s">
        <v>118</v>
      </c>
      <c r="AV12" s="2523" t="s">
        <v>118</v>
      </c>
      <c r="AW12" s="2522" t="s">
        <v>118</v>
      </c>
      <c r="AX12" s="2522" t="s">
        <v>118</v>
      </c>
      <c r="AY12" s="2522" t="s">
        <v>118</v>
      </c>
      <c r="AZ12" s="2522" t="s">
        <v>118</v>
      </c>
      <c r="BA12" s="2522" t="s">
        <v>118</v>
      </c>
    </row>
    <row r="13" ht="18.75" customHeight="1">
      <c r="A13" s="158"/>
      <c r="B13" s="813"/>
      <c r="C13" s="2532" t="s">
        <v>16</v>
      </c>
      <c r="D13" s="2522" t="s">
        <v>118</v>
      </c>
      <c r="E13" s="2523" t="s">
        <v>118</v>
      </c>
      <c r="F13" s="2522" t="s">
        <v>118</v>
      </c>
      <c r="G13" s="2522" t="s">
        <v>118</v>
      </c>
      <c r="H13" s="2522" t="s">
        <v>118</v>
      </c>
      <c r="I13" s="2523" t="s">
        <v>118</v>
      </c>
      <c r="J13" s="2522" t="s">
        <v>118</v>
      </c>
      <c r="K13" s="2522" t="s">
        <v>118</v>
      </c>
      <c r="L13" s="2522" t="s">
        <v>118</v>
      </c>
      <c r="M13" s="2522" t="s">
        <v>118</v>
      </c>
      <c r="N13" s="2523" t="s">
        <v>118</v>
      </c>
      <c r="O13" s="2522" t="s">
        <v>118</v>
      </c>
      <c r="P13" s="2522" t="s">
        <v>118</v>
      </c>
      <c r="Q13" s="2522" t="s">
        <v>118</v>
      </c>
      <c r="R13" s="2522" t="s">
        <v>118</v>
      </c>
      <c r="S13" s="2522" t="s">
        <v>118</v>
      </c>
      <c r="T13" s="2522" t="s">
        <v>118</v>
      </c>
      <c r="U13" s="2522" t="s">
        <v>118</v>
      </c>
      <c r="V13" s="2523" t="s">
        <v>118</v>
      </c>
      <c r="W13" s="2522" t="s">
        <v>118</v>
      </c>
      <c r="X13" s="2522" t="s">
        <v>118</v>
      </c>
      <c r="Y13" s="2522" t="s">
        <v>118</v>
      </c>
      <c r="Z13" s="2522" t="s">
        <v>118</v>
      </c>
      <c r="AA13" s="2523" t="s">
        <v>118</v>
      </c>
      <c r="AB13" s="2522" t="s">
        <v>118</v>
      </c>
      <c r="AC13" s="2522" t="s">
        <v>118</v>
      </c>
      <c r="AD13" s="2522" t="s">
        <v>118</v>
      </c>
      <c r="AE13" s="2523" t="s">
        <v>118</v>
      </c>
      <c r="AF13" s="2522" t="s">
        <v>118</v>
      </c>
      <c r="AG13" s="2522" t="s">
        <v>118</v>
      </c>
      <c r="AH13" s="2522" t="s">
        <v>118</v>
      </c>
      <c r="AI13" s="2523" t="s">
        <v>118</v>
      </c>
      <c r="AJ13" s="2536" t="s">
        <v>91</v>
      </c>
      <c r="AK13" s="2537" t="s">
        <v>91</v>
      </c>
      <c r="AL13" s="2522" t="s">
        <v>92</v>
      </c>
      <c r="AM13" s="2522" t="s">
        <v>91</v>
      </c>
      <c r="AN13" s="2522" t="s">
        <v>91</v>
      </c>
      <c r="AO13" s="2523" t="s">
        <v>92</v>
      </c>
      <c r="AP13" s="2522" t="s">
        <v>92</v>
      </c>
      <c r="AQ13" s="2522" t="s">
        <v>92</v>
      </c>
      <c r="AR13" s="2523" t="s">
        <v>91</v>
      </c>
      <c r="AS13" s="2522" t="s">
        <v>91</v>
      </c>
      <c r="AT13" s="2522" t="s">
        <v>91</v>
      </c>
      <c r="AU13" s="2522" t="s">
        <v>91</v>
      </c>
      <c r="AV13" s="2523" t="s">
        <v>91</v>
      </c>
      <c r="AW13" s="2522" t="s">
        <v>117</v>
      </c>
      <c r="AX13" s="2522" t="s">
        <v>92</v>
      </c>
      <c r="AY13" s="2522" t="s">
        <v>91</v>
      </c>
      <c r="AZ13" s="2522" t="s">
        <v>91</v>
      </c>
      <c r="BA13" s="2522" t="s">
        <v>91</v>
      </c>
    </row>
    <row r="14" ht="18.75" customHeight="1">
      <c r="A14" s="158"/>
      <c r="B14" s="813"/>
      <c r="C14" s="2538" t="s">
        <v>1347</v>
      </c>
      <c r="D14" s="2522" t="s">
        <v>91</v>
      </c>
      <c r="E14" s="2523" t="s">
        <v>91</v>
      </c>
      <c r="F14" s="2522" t="s">
        <v>92</v>
      </c>
      <c r="G14" s="2522" t="s">
        <v>91</v>
      </c>
      <c r="H14" s="2522" t="s">
        <v>92</v>
      </c>
      <c r="I14" s="2523" t="s">
        <v>92</v>
      </c>
      <c r="J14" s="2522" t="s">
        <v>91</v>
      </c>
      <c r="K14" s="2522" t="s">
        <v>91</v>
      </c>
      <c r="L14" s="2522" t="s">
        <v>91</v>
      </c>
      <c r="M14" s="2522" t="s">
        <v>91</v>
      </c>
      <c r="N14" s="2523" t="s">
        <v>91</v>
      </c>
      <c r="O14" s="2522" t="s">
        <v>92</v>
      </c>
      <c r="P14" s="2522" t="s">
        <v>91</v>
      </c>
      <c r="Q14" s="2522" t="s">
        <v>91</v>
      </c>
      <c r="R14" s="2522" t="s">
        <v>91</v>
      </c>
      <c r="S14" s="2522" t="s">
        <v>91</v>
      </c>
      <c r="T14" s="2522" t="s">
        <v>91</v>
      </c>
      <c r="U14" s="2522" t="s">
        <v>91</v>
      </c>
      <c r="V14" s="2523" t="s">
        <v>91</v>
      </c>
      <c r="W14" s="2522" t="s">
        <v>92</v>
      </c>
      <c r="X14" s="2522" t="s">
        <v>91</v>
      </c>
      <c r="Y14" s="2522" t="s">
        <v>91</v>
      </c>
      <c r="Z14" s="2522" t="s">
        <v>92</v>
      </c>
      <c r="AA14" s="2523" t="s">
        <v>92</v>
      </c>
      <c r="AB14" s="2522" t="s">
        <v>91</v>
      </c>
      <c r="AC14" s="2522" t="s">
        <v>92</v>
      </c>
      <c r="AD14" s="2522" t="s">
        <v>91</v>
      </c>
      <c r="AE14" s="2523" t="s">
        <v>91</v>
      </c>
      <c r="AF14" s="2522" t="s">
        <v>92</v>
      </c>
      <c r="AG14" s="2522" t="s">
        <v>91</v>
      </c>
      <c r="AH14" s="2522" t="s">
        <v>91</v>
      </c>
      <c r="AI14" s="2523" t="s">
        <v>91</v>
      </c>
      <c r="AJ14" s="2536" t="s">
        <v>91</v>
      </c>
      <c r="AK14" s="2537" t="s">
        <v>91</v>
      </c>
      <c r="AL14" s="2522" t="s">
        <v>92</v>
      </c>
      <c r="AM14" s="2522" t="s">
        <v>91</v>
      </c>
      <c r="AN14" s="2522" t="s">
        <v>91</v>
      </c>
      <c r="AO14" s="2523" t="s">
        <v>92</v>
      </c>
      <c r="AP14" s="2522" t="s">
        <v>117</v>
      </c>
      <c r="AQ14" s="2522" t="s">
        <v>92</v>
      </c>
      <c r="AR14" s="2523" t="s">
        <v>91</v>
      </c>
      <c r="AS14" s="2522" t="s">
        <v>91</v>
      </c>
      <c r="AT14" s="2522" t="s">
        <v>91</v>
      </c>
      <c r="AU14" s="2522" t="s">
        <v>91</v>
      </c>
      <c r="AV14" s="2523" t="s">
        <v>91</v>
      </c>
      <c r="AW14" s="2522" t="s">
        <v>117</v>
      </c>
      <c r="AX14" s="2522" t="s">
        <v>92</v>
      </c>
      <c r="AY14" s="2522" t="s">
        <v>91</v>
      </c>
      <c r="AZ14" s="2522" t="s">
        <v>91</v>
      </c>
      <c r="BA14" s="2522" t="s">
        <v>91</v>
      </c>
    </row>
    <row r="15" ht="18.75" customHeight="1">
      <c r="A15" s="158"/>
      <c r="B15" s="968"/>
      <c r="C15" s="2539" t="s">
        <v>294</v>
      </c>
      <c r="D15" s="2522" t="s">
        <v>91</v>
      </c>
      <c r="E15" s="2523" t="s">
        <v>91</v>
      </c>
      <c r="F15" s="2522" t="s">
        <v>92</v>
      </c>
      <c r="G15" s="2522" t="s">
        <v>91</v>
      </c>
      <c r="H15" s="2522" t="s">
        <v>92</v>
      </c>
      <c r="I15" s="2523" t="s">
        <v>92</v>
      </c>
      <c r="J15" s="2522" t="s">
        <v>91</v>
      </c>
      <c r="K15" s="2522" t="s">
        <v>91</v>
      </c>
      <c r="L15" s="2522" t="s">
        <v>91</v>
      </c>
      <c r="M15" s="2522" t="s">
        <v>91</v>
      </c>
      <c r="N15" s="2523" t="s">
        <v>91</v>
      </c>
      <c r="O15" s="2522" t="s">
        <v>92</v>
      </c>
      <c r="P15" s="2522" t="s">
        <v>91</v>
      </c>
      <c r="Q15" s="2522" t="s">
        <v>91</v>
      </c>
      <c r="R15" s="2522" t="s">
        <v>91</v>
      </c>
      <c r="S15" s="2522" t="s">
        <v>91</v>
      </c>
      <c r="T15" s="2522" t="s">
        <v>91</v>
      </c>
      <c r="U15" s="2522" t="s">
        <v>91</v>
      </c>
      <c r="V15" s="2523" t="s">
        <v>91</v>
      </c>
      <c r="W15" s="2522" t="s">
        <v>92</v>
      </c>
      <c r="X15" s="2522" t="s">
        <v>91</v>
      </c>
      <c r="Y15" s="2522" t="s">
        <v>91</v>
      </c>
      <c r="Z15" s="2522" t="s">
        <v>91</v>
      </c>
      <c r="AA15" s="2523" t="s">
        <v>92</v>
      </c>
      <c r="AB15" s="2522" t="s">
        <v>91</v>
      </c>
      <c r="AC15" s="2522" t="s">
        <v>92</v>
      </c>
      <c r="AD15" s="2522" t="s">
        <v>91</v>
      </c>
      <c r="AE15" s="2523" t="s">
        <v>92</v>
      </c>
      <c r="AF15" s="2522" t="s">
        <v>92</v>
      </c>
      <c r="AG15" s="2522" t="s">
        <v>91</v>
      </c>
      <c r="AH15" s="2522" t="s">
        <v>91</v>
      </c>
      <c r="AI15" s="2523" t="s">
        <v>91</v>
      </c>
      <c r="AJ15" s="2536" t="s">
        <v>91</v>
      </c>
      <c r="AK15" s="2537" t="s">
        <v>91</v>
      </c>
      <c r="AL15" s="2522" t="s">
        <v>92</v>
      </c>
      <c r="AM15" s="2522" t="s">
        <v>91</v>
      </c>
      <c r="AN15" s="2522" t="s">
        <v>91</v>
      </c>
      <c r="AO15" s="2523" t="s">
        <v>91</v>
      </c>
      <c r="AP15" s="2522" t="s">
        <v>92</v>
      </c>
      <c r="AQ15" s="2522" t="s">
        <v>92</v>
      </c>
      <c r="AR15" s="2523" t="s">
        <v>91</v>
      </c>
      <c r="AS15" s="2522" t="s">
        <v>91</v>
      </c>
      <c r="AT15" s="2522" t="s">
        <v>91</v>
      </c>
      <c r="AU15" s="2522" t="s">
        <v>92</v>
      </c>
      <c r="AV15" s="2523" t="s">
        <v>91</v>
      </c>
      <c r="AW15" s="2522" t="s">
        <v>118</v>
      </c>
      <c r="AX15" s="2522" t="s">
        <v>118</v>
      </c>
      <c r="AY15" s="2522" t="s">
        <v>118</v>
      </c>
      <c r="AZ15" s="2522" t="s">
        <v>118</v>
      </c>
      <c r="BA15" s="2522" t="s">
        <v>118</v>
      </c>
    </row>
    <row r="16" ht="18.75" customHeight="1">
      <c r="A16" s="158"/>
      <c r="B16" s="2540" t="s">
        <v>214</v>
      </c>
      <c r="C16" s="2541" t="s">
        <v>1941</v>
      </c>
      <c r="D16" s="2522" t="s">
        <v>92</v>
      </c>
      <c r="E16" s="2523" t="s">
        <v>91</v>
      </c>
      <c r="F16" s="2522" t="s">
        <v>93</v>
      </c>
      <c r="G16" s="2522" t="s">
        <v>93</v>
      </c>
      <c r="H16" s="2522" t="s">
        <v>93</v>
      </c>
      <c r="I16" s="2523" t="s">
        <v>93</v>
      </c>
      <c r="J16" s="2522" t="s">
        <v>93</v>
      </c>
      <c r="K16" s="2522" t="s">
        <v>93</v>
      </c>
      <c r="L16" s="2522" t="s">
        <v>93</v>
      </c>
      <c r="M16" s="2522" t="s">
        <v>93</v>
      </c>
      <c r="N16" s="2523" t="s">
        <v>93</v>
      </c>
      <c r="O16" s="2522" t="s">
        <v>91</v>
      </c>
      <c r="P16" s="2522" t="s">
        <v>91</v>
      </c>
      <c r="Q16" s="2522" t="s">
        <v>91</v>
      </c>
      <c r="R16" s="2522" t="s">
        <v>91</v>
      </c>
      <c r="S16" s="2522" t="s">
        <v>92</v>
      </c>
      <c r="T16" s="2522" t="s">
        <v>91</v>
      </c>
      <c r="U16" s="2522" t="s">
        <v>92</v>
      </c>
      <c r="V16" s="2523" t="s">
        <v>91</v>
      </c>
      <c r="W16" s="2522" t="s">
        <v>92</v>
      </c>
      <c r="X16" s="2522" t="s">
        <v>91</v>
      </c>
      <c r="Y16" s="2522" t="s">
        <v>91</v>
      </c>
      <c r="Z16" s="2522" t="s">
        <v>117</v>
      </c>
      <c r="AA16" s="2523" t="s">
        <v>91</v>
      </c>
      <c r="AB16" s="2522" t="s">
        <v>93</v>
      </c>
      <c r="AC16" s="2522" t="s">
        <v>93</v>
      </c>
      <c r="AD16" s="2522" t="s">
        <v>93</v>
      </c>
      <c r="AE16" s="2523" t="s">
        <v>93</v>
      </c>
      <c r="AF16" s="2522" t="s">
        <v>93</v>
      </c>
      <c r="AG16" s="2522" t="s">
        <v>93</v>
      </c>
      <c r="AH16" s="2522" t="s">
        <v>93</v>
      </c>
      <c r="AI16" s="2523" t="s">
        <v>93</v>
      </c>
      <c r="AJ16" s="2527" t="s">
        <v>93</v>
      </c>
      <c r="AK16" s="2528" t="s">
        <v>93</v>
      </c>
      <c r="AL16" s="2522" t="s">
        <v>93</v>
      </c>
      <c r="AM16" s="2522" t="s">
        <v>93</v>
      </c>
      <c r="AN16" s="2522" t="s">
        <v>93</v>
      </c>
      <c r="AO16" s="2523" t="s">
        <v>93</v>
      </c>
      <c r="AP16" s="2522" t="s">
        <v>92</v>
      </c>
      <c r="AQ16" s="2522" t="s">
        <v>92</v>
      </c>
      <c r="AR16" s="2523" t="s">
        <v>91</v>
      </c>
      <c r="AS16" s="2522" t="s">
        <v>91</v>
      </c>
      <c r="AT16" s="2522" t="s">
        <v>91</v>
      </c>
      <c r="AU16" s="2522" t="s">
        <v>91</v>
      </c>
      <c r="AV16" s="2523" t="s">
        <v>91</v>
      </c>
      <c r="AW16" s="2522" t="s">
        <v>92</v>
      </c>
      <c r="AX16" s="2522" t="s">
        <v>91</v>
      </c>
      <c r="AY16" s="2522" t="s">
        <v>91</v>
      </c>
      <c r="AZ16" s="2522" t="s">
        <v>91</v>
      </c>
      <c r="BA16" s="2522" t="s">
        <v>91</v>
      </c>
    </row>
    <row r="17" ht="18.75" customHeight="1">
      <c r="A17" s="158"/>
      <c r="B17" s="813"/>
      <c r="C17" s="2542" t="s">
        <v>162</v>
      </c>
      <c r="D17" s="2522" t="s">
        <v>92</v>
      </c>
      <c r="E17" s="2523" t="s">
        <v>91</v>
      </c>
      <c r="F17" s="2522" t="s">
        <v>92</v>
      </c>
      <c r="G17" s="2522" t="s">
        <v>92</v>
      </c>
      <c r="H17" s="2522" t="s">
        <v>92</v>
      </c>
      <c r="I17" s="2523" t="s">
        <v>91</v>
      </c>
      <c r="J17" s="2522" t="s">
        <v>92</v>
      </c>
      <c r="K17" s="2522" t="s">
        <v>92</v>
      </c>
      <c r="L17" s="2522" t="s">
        <v>91</v>
      </c>
      <c r="M17" s="2522" t="s">
        <v>91</v>
      </c>
      <c r="N17" s="2523" t="s">
        <v>92</v>
      </c>
      <c r="O17" s="2522" t="s">
        <v>91</v>
      </c>
      <c r="P17" s="2522" t="s">
        <v>91</v>
      </c>
      <c r="Q17" s="2522" t="s">
        <v>91</v>
      </c>
      <c r="R17" s="2522" t="s">
        <v>91</v>
      </c>
      <c r="S17" s="2522" t="s">
        <v>92</v>
      </c>
      <c r="T17" s="2522" t="s">
        <v>91</v>
      </c>
      <c r="U17" s="2522" t="s">
        <v>92</v>
      </c>
      <c r="V17" s="2523" t="s">
        <v>92</v>
      </c>
      <c r="W17" s="2522" t="s">
        <v>92</v>
      </c>
      <c r="X17" s="2522" t="s">
        <v>91</v>
      </c>
      <c r="Y17" s="2522" t="s">
        <v>91</v>
      </c>
      <c r="Z17" s="2522" t="s">
        <v>91</v>
      </c>
      <c r="AA17" s="2523" t="s">
        <v>92</v>
      </c>
      <c r="AB17" s="2522" t="s">
        <v>92</v>
      </c>
      <c r="AC17" s="2522" t="s">
        <v>91</v>
      </c>
      <c r="AD17" s="2522" t="s">
        <v>91</v>
      </c>
      <c r="AE17" s="2523" t="s">
        <v>91</v>
      </c>
      <c r="AF17" s="2522" t="s">
        <v>92</v>
      </c>
      <c r="AG17" s="2522" t="s">
        <v>92</v>
      </c>
      <c r="AH17" s="2522" t="s">
        <v>91</v>
      </c>
      <c r="AI17" s="2523" t="s">
        <v>92</v>
      </c>
      <c r="AJ17" s="2536" t="s">
        <v>91</v>
      </c>
      <c r="AK17" s="2537" t="s">
        <v>91</v>
      </c>
      <c r="AL17" s="2522" t="s">
        <v>92</v>
      </c>
      <c r="AM17" s="2522" t="s">
        <v>92</v>
      </c>
      <c r="AN17" s="2522" t="s">
        <v>91</v>
      </c>
      <c r="AO17" s="2523" t="s">
        <v>92</v>
      </c>
      <c r="AP17" s="2522" t="s">
        <v>93</v>
      </c>
      <c r="AQ17" s="2522" t="s">
        <v>93</v>
      </c>
      <c r="AR17" s="2523" t="s">
        <v>93</v>
      </c>
      <c r="AS17" s="2522" t="s">
        <v>92</v>
      </c>
      <c r="AT17" s="2522" t="s">
        <v>91</v>
      </c>
      <c r="AU17" s="2522" t="s">
        <v>92</v>
      </c>
      <c r="AV17" s="2523" t="s">
        <v>91</v>
      </c>
      <c r="AW17" s="2522" t="s">
        <v>92</v>
      </c>
      <c r="AX17" s="2522" t="s">
        <v>91</v>
      </c>
      <c r="AY17" s="2522" t="s">
        <v>117</v>
      </c>
      <c r="AZ17" s="2522" t="s">
        <v>91</v>
      </c>
      <c r="BA17" s="2522" t="s">
        <v>91</v>
      </c>
    </row>
    <row r="18" ht="18.75" customHeight="1">
      <c r="A18" s="158"/>
      <c r="B18" s="813"/>
      <c r="C18" s="2543" t="s">
        <v>182</v>
      </c>
      <c r="D18" s="2522" t="s">
        <v>92</v>
      </c>
      <c r="E18" s="2523" t="s">
        <v>91</v>
      </c>
      <c r="F18" s="2522" t="s">
        <v>91</v>
      </c>
      <c r="G18" s="2522" t="s">
        <v>91</v>
      </c>
      <c r="H18" s="2522" t="s">
        <v>92</v>
      </c>
      <c r="I18" s="2523" t="s">
        <v>91</v>
      </c>
      <c r="J18" s="2522" t="s">
        <v>91</v>
      </c>
      <c r="K18" s="2522" t="s">
        <v>91</v>
      </c>
      <c r="L18" s="2522" t="s">
        <v>91</v>
      </c>
      <c r="M18" s="2522" t="s">
        <v>91</v>
      </c>
      <c r="N18" s="2523" t="s">
        <v>91</v>
      </c>
      <c r="O18" s="2522" t="s">
        <v>91</v>
      </c>
      <c r="P18" s="2522" t="s">
        <v>91</v>
      </c>
      <c r="Q18" s="2522" t="s">
        <v>92</v>
      </c>
      <c r="R18" s="2522" t="s">
        <v>91</v>
      </c>
      <c r="S18" s="2522" t="s">
        <v>91</v>
      </c>
      <c r="T18" s="2522" t="s">
        <v>91</v>
      </c>
      <c r="U18" s="2522" t="s">
        <v>92</v>
      </c>
      <c r="V18" s="2523" t="s">
        <v>91</v>
      </c>
      <c r="W18" s="2522" t="s">
        <v>92</v>
      </c>
      <c r="X18" s="2522" t="s">
        <v>91</v>
      </c>
      <c r="Y18" s="2522" t="s">
        <v>91</v>
      </c>
      <c r="Z18" s="2522" t="s">
        <v>117</v>
      </c>
      <c r="AA18" s="2523" t="s">
        <v>92</v>
      </c>
      <c r="AB18" s="2522" t="s">
        <v>93</v>
      </c>
      <c r="AC18" s="2522" t="s">
        <v>93</v>
      </c>
      <c r="AD18" s="2522" t="s">
        <v>93</v>
      </c>
      <c r="AE18" s="2523" t="s">
        <v>93</v>
      </c>
      <c r="AF18" s="2522" t="s">
        <v>92</v>
      </c>
      <c r="AG18" s="2522" t="s">
        <v>91</v>
      </c>
      <c r="AH18" s="2522" t="s">
        <v>91</v>
      </c>
      <c r="AI18" s="2523" t="s">
        <v>91</v>
      </c>
      <c r="AJ18" s="2536" t="s">
        <v>91</v>
      </c>
      <c r="AK18" s="2537" t="s">
        <v>91</v>
      </c>
      <c r="AL18" s="2522" t="s">
        <v>92</v>
      </c>
      <c r="AM18" s="2522" t="s">
        <v>91</v>
      </c>
      <c r="AN18" s="2522" t="s">
        <v>91</v>
      </c>
      <c r="AO18" s="2523" t="s">
        <v>92</v>
      </c>
      <c r="AP18" s="2522" t="s">
        <v>92</v>
      </c>
      <c r="AQ18" s="2522" t="s">
        <v>92</v>
      </c>
      <c r="AR18" s="2523" t="s">
        <v>91</v>
      </c>
      <c r="AS18" s="2522" t="s">
        <v>91</v>
      </c>
      <c r="AT18" s="2522" t="s">
        <v>91</v>
      </c>
      <c r="AU18" s="2522" t="s">
        <v>92</v>
      </c>
      <c r="AV18" s="2523" t="s">
        <v>91</v>
      </c>
      <c r="AW18" s="2522" t="s">
        <v>118</v>
      </c>
      <c r="AX18" s="2522" t="s">
        <v>118</v>
      </c>
      <c r="AY18" s="2522" t="s">
        <v>118</v>
      </c>
      <c r="AZ18" s="2522" t="s">
        <v>118</v>
      </c>
      <c r="BA18" s="2522" t="s">
        <v>118</v>
      </c>
    </row>
    <row r="19" ht="18.75" customHeight="1">
      <c r="A19" s="158"/>
      <c r="B19" s="813"/>
      <c r="C19" s="2544" t="s">
        <v>1430</v>
      </c>
      <c r="D19" s="2522" t="s">
        <v>118</v>
      </c>
      <c r="E19" s="2523" t="s">
        <v>118</v>
      </c>
      <c r="F19" s="2522" t="s">
        <v>118</v>
      </c>
      <c r="G19" s="2522" t="s">
        <v>118</v>
      </c>
      <c r="H19" s="2522" t="s">
        <v>118</v>
      </c>
      <c r="I19" s="2523" t="s">
        <v>118</v>
      </c>
      <c r="J19" s="2522" t="s">
        <v>118</v>
      </c>
      <c r="K19" s="2522" t="s">
        <v>118</v>
      </c>
      <c r="L19" s="2522" t="s">
        <v>118</v>
      </c>
      <c r="M19" s="2522" t="s">
        <v>118</v>
      </c>
      <c r="N19" s="2523" t="s">
        <v>118</v>
      </c>
      <c r="O19" s="2522" t="s">
        <v>118</v>
      </c>
      <c r="P19" s="2522" t="s">
        <v>118</v>
      </c>
      <c r="Q19" s="2522" t="s">
        <v>118</v>
      </c>
      <c r="R19" s="2522" t="s">
        <v>118</v>
      </c>
      <c r="S19" s="2522" t="s">
        <v>118</v>
      </c>
      <c r="T19" s="2522" t="s">
        <v>118</v>
      </c>
      <c r="U19" s="2522" t="s">
        <v>118</v>
      </c>
      <c r="V19" s="2523" t="s">
        <v>118</v>
      </c>
      <c r="W19" s="2522" t="s">
        <v>118</v>
      </c>
      <c r="X19" s="2522" t="s">
        <v>118</v>
      </c>
      <c r="Y19" s="2522" t="s">
        <v>118</v>
      </c>
      <c r="Z19" s="2522" t="s">
        <v>118</v>
      </c>
      <c r="AA19" s="2523" t="s">
        <v>118</v>
      </c>
      <c r="AB19" s="2522" t="s">
        <v>118</v>
      </c>
      <c r="AC19" s="2522" t="s">
        <v>118</v>
      </c>
      <c r="AD19" s="2522" t="s">
        <v>118</v>
      </c>
      <c r="AE19" s="2523" t="s">
        <v>118</v>
      </c>
      <c r="AF19" s="2522" t="s">
        <v>118</v>
      </c>
      <c r="AG19" s="2522" t="s">
        <v>118</v>
      </c>
      <c r="AH19" s="2522" t="s">
        <v>118</v>
      </c>
      <c r="AI19" s="2523" t="s">
        <v>118</v>
      </c>
      <c r="AJ19" s="2530" t="s">
        <v>118</v>
      </c>
      <c r="AK19" s="2531" t="s">
        <v>118</v>
      </c>
      <c r="AL19" s="2522" t="s">
        <v>118</v>
      </c>
      <c r="AM19" s="2522" t="s">
        <v>118</v>
      </c>
      <c r="AN19" s="2522" t="s">
        <v>118</v>
      </c>
      <c r="AO19" s="2523" t="s">
        <v>118</v>
      </c>
      <c r="AP19" s="2522" t="s">
        <v>118</v>
      </c>
      <c r="AQ19" s="2522" t="s">
        <v>118</v>
      </c>
      <c r="AR19" s="2523" t="s">
        <v>118</v>
      </c>
      <c r="AS19" s="2522" t="s">
        <v>118</v>
      </c>
      <c r="AT19" s="2522" t="s">
        <v>118</v>
      </c>
      <c r="AU19" s="2522" t="s">
        <v>118</v>
      </c>
      <c r="AV19" s="2523" t="s">
        <v>118</v>
      </c>
      <c r="AW19" s="2522" t="s">
        <v>92</v>
      </c>
      <c r="AX19" s="2522" t="s">
        <v>91</v>
      </c>
      <c r="AY19" s="2522" t="s">
        <v>91</v>
      </c>
      <c r="AZ19" s="2522" t="s">
        <v>91</v>
      </c>
      <c r="BA19" s="2522" t="s">
        <v>91</v>
      </c>
    </row>
    <row r="20" ht="18.75" customHeight="1">
      <c r="A20" s="158"/>
      <c r="B20" s="813"/>
      <c r="C20" s="2542" t="s">
        <v>1330</v>
      </c>
      <c r="D20" s="2522" t="s">
        <v>92</v>
      </c>
      <c r="E20" s="2523" t="s">
        <v>91</v>
      </c>
      <c r="F20" s="2522" t="s">
        <v>92</v>
      </c>
      <c r="G20" s="2522" t="s">
        <v>92</v>
      </c>
      <c r="H20" s="2522" t="s">
        <v>92</v>
      </c>
      <c r="I20" s="2523" t="s">
        <v>91</v>
      </c>
      <c r="J20" s="2522" t="s">
        <v>91</v>
      </c>
      <c r="K20" s="2522" t="s">
        <v>91</v>
      </c>
      <c r="L20" s="2522" t="s">
        <v>91</v>
      </c>
      <c r="M20" s="2522" t="s">
        <v>91</v>
      </c>
      <c r="N20" s="2523" t="s">
        <v>91</v>
      </c>
      <c r="O20" s="2522" t="s">
        <v>93</v>
      </c>
      <c r="P20" s="2522" t="s">
        <v>93</v>
      </c>
      <c r="Q20" s="2522" t="s">
        <v>93</v>
      </c>
      <c r="R20" s="2522" t="s">
        <v>93</v>
      </c>
      <c r="S20" s="2522" t="s">
        <v>93</v>
      </c>
      <c r="T20" s="2522" t="s">
        <v>93</v>
      </c>
      <c r="U20" s="2522" t="s">
        <v>93</v>
      </c>
      <c r="V20" s="2523" t="s">
        <v>93</v>
      </c>
      <c r="W20" s="2522" t="s">
        <v>92</v>
      </c>
      <c r="X20" s="2522" t="s">
        <v>91</v>
      </c>
      <c r="Y20" s="2522" t="s">
        <v>91</v>
      </c>
      <c r="Z20" s="2522" t="s">
        <v>91</v>
      </c>
      <c r="AA20" s="2523" t="s">
        <v>92</v>
      </c>
      <c r="AB20" s="2522" t="s">
        <v>92</v>
      </c>
      <c r="AC20" s="2522" t="s">
        <v>91</v>
      </c>
      <c r="AD20" s="2522" t="s">
        <v>91</v>
      </c>
      <c r="AE20" s="2523" t="s">
        <v>91</v>
      </c>
      <c r="AF20" s="2522" t="s">
        <v>92</v>
      </c>
      <c r="AG20" s="2522" t="s">
        <v>91</v>
      </c>
      <c r="AH20" s="2522" t="s">
        <v>91</v>
      </c>
      <c r="AI20" s="2523" t="s">
        <v>91</v>
      </c>
      <c r="AJ20" s="2536" t="s">
        <v>91</v>
      </c>
      <c r="AK20" s="2537" t="s">
        <v>91</v>
      </c>
      <c r="AL20" s="2522" t="s">
        <v>92</v>
      </c>
      <c r="AM20" s="2522" t="s">
        <v>92</v>
      </c>
      <c r="AN20" s="2522" t="s">
        <v>91</v>
      </c>
      <c r="AO20" s="2523" t="s">
        <v>92</v>
      </c>
      <c r="AP20" s="2522" t="s">
        <v>92</v>
      </c>
      <c r="AQ20" s="2522" t="s">
        <v>92</v>
      </c>
      <c r="AR20" s="2523" t="s">
        <v>91</v>
      </c>
      <c r="AS20" s="2522" t="s">
        <v>92</v>
      </c>
      <c r="AT20" s="2522" t="s">
        <v>91</v>
      </c>
      <c r="AU20" s="2522" t="s">
        <v>92</v>
      </c>
      <c r="AV20" s="2523" t="s">
        <v>91</v>
      </c>
      <c r="AW20" s="2522" t="s">
        <v>92</v>
      </c>
      <c r="AX20" s="2522" t="s">
        <v>91</v>
      </c>
      <c r="AY20" s="2522" t="s">
        <v>91</v>
      </c>
      <c r="AZ20" s="2522" t="s">
        <v>91</v>
      </c>
      <c r="BA20" s="2522" t="s">
        <v>91</v>
      </c>
    </row>
    <row r="21" ht="18.75" customHeight="1">
      <c r="A21" s="158"/>
      <c r="B21" s="813"/>
      <c r="C21" s="2543" t="s">
        <v>1168</v>
      </c>
      <c r="D21" s="2522" t="s">
        <v>92</v>
      </c>
      <c r="E21" s="2523" t="s">
        <v>91</v>
      </c>
      <c r="F21" s="2522" t="s">
        <v>91</v>
      </c>
      <c r="G21" s="2522" t="s">
        <v>91</v>
      </c>
      <c r="H21" s="2522" t="s">
        <v>92</v>
      </c>
      <c r="I21" s="2523" t="s">
        <v>91</v>
      </c>
      <c r="J21" s="2522" t="s">
        <v>92</v>
      </c>
      <c r="K21" s="2522" t="s">
        <v>91</v>
      </c>
      <c r="L21" s="2522" t="s">
        <v>91</v>
      </c>
      <c r="M21" s="2522" t="s">
        <v>92</v>
      </c>
      <c r="N21" s="2523" t="s">
        <v>91</v>
      </c>
      <c r="O21" s="2522" t="s">
        <v>91</v>
      </c>
      <c r="P21" s="2522" t="s">
        <v>91</v>
      </c>
      <c r="Q21" s="2522" t="s">
        <v>92</v>
      </c>
      <c r="R21" s="2522" t="s">
        <v>91</v>
      </c>
      <c r="S21" s="2522" t="s">
        <v>91</v>
      </c>
      <c r="T21" s="2522" t="s">
        <v>91</v>
      </c>
      <c r="U21" s="2522" t="s">
        <v>117</v>
      </c>
      <c r="V21" s="2523" t="s">
        <v>91</v>
      </c>
      <c r="W21" s="2522" t="s">
        <v>93</v>
      </c>
      <c r="X21" s="2522" t="s">
        <v>93</v>
      </c>
      <c r="Y21" s="2522" t="s">
        <v>93</v>
      </c>
      <c r="Z21" s="2522" t="s">
        <v>93</v>
      </c>
      <c r="AA21" s="2523" t="s">
        <v>93</v>
      </c>
      <c r="AB21" s="2522" t="s">
        <v>91</v>
      </c>
      <c r="AC21" s="2522" t="s">
        <v>92</v>
      </c>
      <c r="AD21" s="2522" t="s">
        <v>91</v>
      </c>
      <c r="AE21" s="2523" t="s">
        <v>91</v>
      </c>
      <c r="AF21" s="2522" t="s">
        <v>91</v>
      </c>
      <c r="AG21" s="2522" t="s">
        <v>92</v>
      </c>
      <c r="AH21" s="2522" t="s">
        <v>91</v>
      </c>
      <c r="AI21" s="2523" t="s">
        <v>91</v>
      </c>
      <c r="AJ21" s="2536" t="s">
        <v>91</v>
      </c>
      <c r="AK21" s="2537" t="s">
        <v>91</v>
      </c>
      <c r="AL21" s="2522" t="s">
        <v>91</v>
      </c>
      <c r="AM21" s="2522" t="s">
        <v>92</v>
      </c>
      <c r="AN21" s="2522" t="s">
        <v>92</v>
      </c>
      <c r="AO21" s="2523" t="s">
        <v>91</v>
      </c>
      <c r="AP21" s="2522" t="s">
        <v>118</v>
      </c>
      <c r="AQ21" s="2522" t="s">
        <v>118</v>
      </c>
      <c r="AR21" s="2523" t="s">
        <v>118</v>
      </c>
      <c r="AS21" s="2522" t="s">
        <v>118</v>
      </c>
      <c r="AT21" s="2522" t="s">
        <v>118</v>
      </c>
      <c r="AU21" s="2522" t="s">
        <v>118</v>
      </c>
      <c r="AV21" s="2523" t="s">
        <v>118</v>
      </c>
      <c r="AW21" s="2522" t="s">
        <v>118</v>
      </c>
      <c r="AX21" s="2522" t="s">
        <v>118</v>
      </c>
      <c r="AY21" s="2522" t="s">
        <v>118</v>
      </c>
      <c r="AZ21" s="2522" t="s">
        <v>118</v>
      </c>
      <c r="BA21" s="2522" t="s">
        <v>118</v>
      </c>
    </row>
    <row r="22" ht="18.75" customHeight="1">
      <c r="A22" s="158"/>
      <c r="B22" s="813"/>
      <c r="C22" s="2542" t="s">
        <v>1334</v>
      </c>
      <c r="D22" s="2522" t="s">
        <v>118</v>
      </c>
      <c r="E22" s="2523" t="s">
        <v>118</v>
      </c>
      <c r="F22" s="2522" t="s">
        <v>118</v>
      </c>
      <c r="G22" s="2522" t="s">
        <v>118</v>
      </c>
      <c r="H22" s="2522" t="s">
        <v>118</v>
      </c>
      <c r="I22" s="2523" t="s">
        <v>118</v>
      </c>
      <c r="J22" s="2522" t="s">
        <v>118</v>
      </c>
      <c r="K22" s="2522" t="s">
        <v>118</v>
      </c>
      <c r="L22" s="2522" t="s">
        <v>118</v>
      </c>
      <c r="M22" s="2522" t="s">
        <v>118</v>
      </c>
      <c r="N22" s="2523" t="s">
        <v>118</v>
      </c>
      <c r="O22" s="2522" t="s">
        <v>118</v>
      </c>
      <c r="P22" s="2522" t="s">
        <v>118</v>
      </c>
      <c r="Q22" s="2522" t="s">
        <v>118</v>
      </c>
      <c r="R22" s="2522" t="s">
        <v>118</v>
      </c>
      <c r="S22" s="2522" t="s">
        <v>118</v>
      </c>
      <c r="T22" s="2522" t="s">
        <v>118</v>
      </c>
      <c r="U22" s="2522" t="s">
        <v>118</v>
      </c>
      <c r="V22" s="2523" t="s">
        <v>118</v>
      </c>
      <c r="W22" s="2522" t="s">
        <v>118</v>
      </c>
      <c r="X22" s="2522" t="s">
        <v>118</v>
      </c>
      <c r="Y22" s="2522" t="s">
        <v>118</v>
      </c>
      <c r="Z22" s="2522" t="s">
        <v>118</v>
      </c>
      <c r="AA22" s="2523" t="s">
        <v>118</v>
      </c>
      <c r="AB22" s="2522" t="s">
        <v>118</v>
      </c>
      <c r="AC22" s="2522" t="s">
        <v>118</v>
      </c>
      <c r="AD22" s="2522" t="s">
        <v>118</v>
      </c>
      <c r="AE22" s="2523" t="s">
        <v>118</v>
      </c>
      <c r="AF22" s="2522" t="s">
        <v>118</v>
      </c>
      <c r="AG22" s="2522" t="s">
        <v>118</v>
      </c>
      <c r="AH22" s="2522" t="s">
        <v>118</v>
      </c>
      <c r="AI22" s="2523" t="s">
        <v>118</v>
      </c>
      <c r="AJ22" s="2530" t="s">
        <v>118</v>
      </c>
      <c r="AK22" s="2531" t="s">
        <v>118</v>
      </c>
      <c r="AL22" s="2522" t="s">
        <v>118</v>
      </c>
      <c r="AM22" s="2522" t="s">
        <v>118</v>
      </c>
      <c r="AN22" s="2522" t="s">
        <v>118</v>
      </c>
      <c r="AO22" s="2523" t="s">
        <v>118</v>
      </c>
      <c r="AP22" s="2522" t="s">
        <v>92</v>
      </c>
      <c r="AQ22" s="2522" t="s">
        <v>92</v>
      </c>
      <c r="AR22" s="2523" t="s">
        <v>91</v>
      </c>
      <c r="AS22" s="2522" t="s">
        <v>91</v>
      </c>
      <c r="AT22" s="2522" t="s">
        <v>91</v>
      </c>
      <c r="AU22" s="2522" t="s">
        <v>91</v>
      </c>
      <c r="AV22" s="2523" t="s">
        <v>91</v>
      </c>
      <c r="AW22" s="2522" t="s">
        <v>92</v>
      </c>
      <c r="AX22" s="2522" t="s">
        <v>91</v>
      </c>
      <c r="AY22" s="2522" t="s">
        <v>91</v>
      </c>
      <c r="AZ22" s="2522" t="s">
        <v>91</v>
      </c>
      <c r="BA22" s="2522" t="s">
        <v>91</v>
      </c>
    </row>
    <row r="23" ht="18.75" customHeight="1">
      <c r="A23" s="158"/>
      <c r="B23" s="813"/>
      <c r="C23" s="2542" t="s">
        <v>102</v>
      </c>
      <c r="D23" s="2522" t="s">
        <v>92</v>
      </c>
      <c r="E23" s="2523" t="s">
        <v>91</v>
      </c>
      <c r="F23" s="2522" t="s">
        <v>92</v>
      </c>
      <c r="G23" s="2522" t="s">
        <v>91</v>
      </c>
      <c r="H23" s="2522" t="s">
        <v>92</v>
      </c>
      <c r="I23" s="2523" t="s">
        <v>91</v>
      </c>
      <c r="J23" s="2522" t="s">
        <v>91</v>
      </c>
      <c r="K23" s="2522" t="s">
        <v>91</v>
      </c>
      <c r="L23" s="2522" t="s">
        <v>91</v>
      </c>
      <c r="M23" s="2522" t="s">
        <v>91</v>
      </c>
      <c r="N23" s="2523" t="s">
        <v>91</v>
      </c>
      <c r="O23" s="2522" t="s">
        <v>91</v>
      </c>
      <c r="P23" s="2522" t="s">
        <v>91</v>
      </c>
      <c r="Q23" s="2522" t="s">
        <v>91</v>
      </c>
      <c r="R23" s="2522" t="s">
        <v>91</v>
      </c>
      <c r="S23" s="2522" t="s">
        <v>92</v>
      </c>
      <c r="T23" s="2522" t="s">
        <v>91</v>
      </c>
      <c r="U23" s="2522" t="s">
        <v>92</v>
      </c>
      <c r="V23" s="2523" t="s">
        <v>91</v>
      </c>
      <c r="W23" s="2522" t="s">
        <v>92</v>
      </c>
      <c r="X23" s="2522" t="s">
        <v>91</v>
      </c>
      <c r="Y23" s="2522" t="s">
        <v>91</v>
      </c>
      <c r="Z23" s="2522" t="s">
        <v>117</v>
      </c>
      <c r="AA23" s="2523" t="s">
        <v>91</v>
      </c>
      <c r="AB23" s="2522" t="s">
        <v>91</v>
      </c>
      <c r="AC23" s="2522" t="s">
        <v>91</v>
      </c>
      <c r="AD23" s="2522" t="s">
        <v>117</v>
      </c>
      <c r="AE23" s="2523" t="s">
        <v>91</v>
      </c>
      <c r="AF23" s="2522" t="s">
        <v>91</v>
      </c>
      <c r="AG23" s="2522" t="s">
        <v>91</v>
      </c>
      <c r="AH23" s="2522" t="s">
        <v>91</v>
      </c>
      <c r="AI23" s="2523" t="s">
        <v>91</v>
      </c>
      <c r="AJ23" s="2536" t="s">
        <v>91</v>
      </c>
      <c r="AK23" s="2537" t="s">
        <v>91</v>
      </c>
      <c r="AL23" s="2522" t="s">
        <v>92</v>
      </c>
      <c r="AM23" s="2522" t="s">
        <v>91</v>
      </c>
      <c r="AN23" s="2522" t="s">
        <v>91</v>
      </c>
      <c r="AO23" s="2523" t="s">
        <v>92</v>
      </c>
      <c r="AP23" s="2522" t="s">
        <v>92</v>
      </c>
      <c r="AQ23" s="2522" t="s">
        <v>92</v>
      </c>
      <c r="AR23" s="2523" t="s">
        <v>91</v>
      </c>
      <c r="AS23" s="2522" t="s">
        <v>93</v>
      </c>
      <c r="AT23" s="2522" t="s">
        <v>93</v>
      </c>
      <c r="AU23" s="2522" t="s">
        <v>93</v>
      </c>
      <c r="AV23" s="2523" t="s">
        <v>93</v>
      </c>
      <c r="AW23" s="2522" t="s">
        <v>92</v>
      </c>
      <c r="AX23" s="2522" t="s">
        <v>91</v>
      </c>
      <c r="AY23" s="2522" t="s">
        <v>91</v>
      </c>
      <c r="AZ23" s="2522" t="s">
        <v>91</v>
      </c>
      <c r="BA23" s="2522" t="s">
        <v>91</v>
      </c>
    </row>
    <row r="24" ht="18.75" customHeight="1">
      <c r="A24" s="158"/>
      <c r="B24" s="813"/>
      <c r="C24" s="2544" t="s">
        <v>1942</v>
      </c>
      <c r="D24" s="2522" t="s">
        <v>118</v>
      </c>
      <c r="E24" s="2523" t="s">
        <v>118</v>
      </c>
      <c r="F24" s="2522" t="s">
        <v>118</v>
      </c>
      <c r="G24" s="2522" t="s">
        <v>118</v>
      </c>
      <c r="H24" s="2522" t="s">
        <v>118</v>
      </c>
      <c r="I24" s="2523" t="s">
        <v>118</v>
      </c>
      <c r="J24" s="2522" t="s">
        <v>118</v>
      </c>
      <c r="K24" s="2522" t="s">
        <v>118</v>
      </c>
      <c r="L24" s="2522" t="s">
        <v>118</v>
      </c>
      <c r="M24" s="2522" t="s">
        <v>118</v>
      </c>
      <c r="N24" s="2523" t="s">
        <v>118</v>
      </c>
      <c r="O24" s="2522" t="s">
        <v>118</v>
      </c>
      <c r="P24" s="2522" t="s">
        <v>118</v>
      </c>
      <c r="Q24" s="2522" t="s">
        <v>118</v>
      </c>
      <c r="R24" s="2522" t="s">
        <v>118</v>
      </c>
      <c r="S24" s="2522" t="s">
        <v>118</v>
      </c>
      <c r="T24" s="2522" t="s">
        <v>118</v>
      </c>
      <c r="U24" s="2522" t="s">
        <v>118</v>
      </c>
      <c r="V24" s="2523" t="s">
        <v>118</v>
      </c>
      <c r="W24" s="2522" t="s">
        <v>118</v>
      </c>
      <c r="X24" s="2522" t="s">
        <v>118</v>
      </c>
      <c r="Y24" s="2522" t="s">
        <v>118</v>
      </c>
      <c r="Z24" s="2522" t="s">
        <v>118</v>
      </c>
      <c r="AA24" s="2523" t="s">
        <v>118</v>
      </c>
      <c r="AB24" s="2522" t="s">
        <v>118</v>
      </c>
      <c r="AC24" s="2522" t="s">
        <v>118</v>
      </c>
      <c r="AD24" s="2522" t="s">
        <v>118</v>
      </c>
      <c r="AE24" s="2523" t="s">
        <v>118</v>
      </c>
      <c r="AF24" s="2522" t="s">
        <v>118</v>
      </c>
      <c r="AG24" s="2522" t="s">
        <v>118</v>
      </c>
      <c r="AH24" s="2522" t="s">
        <v>118</v>
      </c>
      <c r="AI24" s="2523" t="s">
        <v>118</v>
      </c>
      <c r="AJ24" s="2530" t="s">
        <v>118</v>
      </c>
      <c r="AK24" s="2531" t="s">
        <v>118</v>
      </c>
      <c r="AL24" s="2522" t="s">
        <v>118</v>
      </c>
      <c r="AM24" s="2522" t="s">
        <v>118</v>
      </c>
      <c r="AN24" s="2522" t="s">
        <v>118</v>
      </c>
      <c r="AO24" s="2523" t="s">
        <v>118</v>
      </c>
      <c r="AP24" s="2522" t="s">
        <v>118</v>
      </c>
      <c r="AQ24" s="2522" t="s">
        <v>118</v>
      </c>
      <c r="AR24" s="2523" t="s">
        <v>118</v>
      </c>
      <c r="AS24" s="2522" t="s">
        <v>118</v>
      </c>
      <c r="AT24" s="2522" t="s">
        <v>118</v>
      </c>
      <c r="AU24" s="2522" t="s">
        <v>118</v>
      </c>
      <c r="AV24" s="2523" t="s">
        <v>118</v>
      </c>
      <c r="AW24" s="2522" t="s">
        <v>92</v>
      </c>
      <c r="AX24" s="2522" t="s">
        <v>91</v>
      </c>
      <c r="AY24" s="2522" t="s">
        <v>91</v>
      </c>
      <c r="AZ24" s="2522" t="s">
        <v>91</v>
      </c>
      <c r="BA24" s="2522" t="s">
        <v>91</v>
      </c>
    </row>
    <row r="25" ht="18.75" customHeight="1">
      <c r="A25" s="158"/>
      <c r="B25" s="968"/>
      <c r="C25" s="2545" t="s">
        <v>1943</v>
      </c>
      <c r="D25" s="2522" t="s">
        <v>92</v>
      </c>
      <c r="E25" s="2523" t="s">
        <v>91</v>
      </c>
      <c r="F25" s="2522" t="s">
        <v>92</v>
      </c>
      <c r="G25" s="2522" t="s">
        <v>91</v>
      </c>
      <c r="H25" s="2522" t="s">
        <v>92</v>
      </c>
      <c r="I25" s="2523" t="s">
        <v>91</v>
      </c>
      <c r="J25" s="2522" t="s">
        <v>93</v>
      </c>
      <c r="K25" s="2522" t="s">
        <v>93</v>
      </c>
      <c r="L25" s="2522" t="s">
        <v>93</v>
      </c>
      <c r="M25" s="2522" t="s">
        <v>93</v>
      </c>
      <c r="N25" s="2523" t="s">
        <v>93</v>
      </c>
      <c r="O25" s="2522" t="s">
        <v>91</v>
      </c>
      <c r="P25" s="2522" t="s">
        <v>91</v>
      </c>
      <c r="Q25" s="2522" t="s">
        <v>91</v>
      </c>
      <c r="R25" s="2522" t="s">
        <v>91</v>
      </c>
      <c r="S25" s="2522" t="s">
        <v>92</v>
      </c>
      <c r="T25" s="2522" t="s">
        <v>91</v>
      </c>
      <c r="U25" s="2522" t="s">
        <v>92</v>
      </c>
      <c r="V25" s="2523" t="s">
        <v>91</v>
      </c>
      <c r="W25" s="2522" t="s">
        <v>92</v>
      </c>
      <c r="X25" s="2522" t="s">
        <v>91</v>
      </c>
      <c r="Y25" s="2522" t="s">
        <v>91</v>
      </c>
      <c r="Z25" s="2522" t="s">
        <v>117</v>
      </c>
      <c r="AA25" s="2523" t="s">
        <v>92</v>
      </c>
      <c r="AB25" s="2522" t="s">
        <v>91</v>
      </c>
      <c r="AC25" s="2522" t="s">
        <v>91</v>
      </c>
      <c r="AD25" s="2522" t="s">
        <v>117</v>
      </c>
      <c r="AE25" s="2523" t="s">
        <v>91</v>
      </c>
      <c r="AF25" s="2522" t="s">
        <v>92</v>
      </c>
      <c r="AG25" s="2522" t="s">
        <v>91</v>
      </c>
      <c r="AH25" s="2522" t="s">
        <v>91</v>
      </c>
      <c r="AI25" s="2523" t="s">
        <v>91</v>
      </c>
      <c r="AJ25" s="2536" t="s">
        <v>91</v>
      </c>
      <c r="AK25" s="2537" t="s">
        <v>91</v>
      </c>
      <c r="AL25" s="2522" t="s">
        <v>92</v>
      </c>
      <c r="AM25" s="2522" t="s">
        <v>91</v>
      </c>
      <c r="AN25" s="2522" t="s">
        <v>91</v>
      </c>
      <c r="AO25" s="2523" t="s">
        <v>91</v>
      </c>
      <c r="AP25" s="2522" t="s">
        <v>92</v>
      </c>
      <c r="AQ25" s="2522" t="s">
        <v>92</v>
      </c>
      <c r="AR25" s="2523" t="s">
        <v>91</v>
      </c>
      <c r="AS25" s="2522" t="s">
        <v>91</v>
      </c>
      <c r="AT25" s="2522" t="s">
        <v>91</v>
      </c>
      <c r="AU25" s="2522" t="s">
        <v>91</v>
      </c>
      <c r="AV25" s="2523" t="s">
        <v>91</v>
      </c>
      <c r="AW25" s="2522" t="s">
        <v>118</v>
      </c>
      <c r="AX25" s="2522" t="s">
        <v>118</v>
      </c>
      <c r="AY25" s="2522" t="s">
        <v>118</v>
      </c>
      <c r="AZ25" s="2522" t="s">
        <v>118</v>
      </c>
      <c r="BA25" s="2522" t="s">
        <v>118</v>
      </c>
    </row>
    <row r="26" ht="18.75" customHeight="1">
      <c r="A26" s="158"/>
      <c r="B26" s="2546" t="s">
        <v>255</v>
      </c>
      <c r="C26" s="2547" t="s">
        <v>308</v>
      </c>
      <c r="D26" s="2522" t="s">
        <v>92</v>
      </c>
      <c r="E26" s="2523" t="s">
        <v>91</v>
      </c>
      <c r="F26" s="2522" t="s">
        <v>91</v>
      </c>
      <c r="G26" s="2522" t="s">
        <v>91</v>
      </c>
      <c r="H26" s="2522" t="s">
        <v>91</v>
      </c>
      <c r="I26" s="2523" t="s">
        <v>92</v>
      </c>
      <c r="J26" s="2522" t="s">
        <v>92</v>
      </c>
      <c r="K26" s="2522" t="s">
        <v>91</v>
      </c>
      <c r="L26" s="2522" t="s">
        <v>91</v>
      </c>
      <c r="M26" s="2522" t="s">
        <v>92</v>
      </c>
      <c r="N26" s="2523" t="s">
        <v>91</v>
      </c>
      <c r="O26" s="2522" t="s">
        <v>92</v>
      </c>
      <c r="P26" s="2522" t="s">
        <v>117</v>
      </c>
      <c r="Q26" s="2522" t="s">
        <v>92</v>
      </c>
      <c r="R26" s="2522" t="s">
        <v>92</v>
      </c>
      <c r="S26" s="2522" t="s">
        <v>117</v>
      </c>
      <c r="T26" s="2522" t="s">
        <v>117</v>
      </c>
      <c r="U26" s="2522" t="s">
        <v>92</v>
      </c>
      <c r="V26" s="2523" t="s">
        <v>91</v>
      </c>
      <c r="W26" s="2522" t="s">
        <v>92</v>
      </c>
      <c r="X26" s="2522" t="s">
        <v>91</v>
      </c>
      <c r="Y26" s="2522" t="s">
        <v>117</v>
      </c>
      <c r="Z26" s="2522" t="s">
        <v>92</v>
      </c>
      <c r="AA26" s="2523" t="s">
        <v>92</v>
      </c>
      <c r="AB26" s="2522" t="s">
        <v>93</v>
      </c>
      <c r="AC26" s="2522" t="s">
        <v>93</v>
      </c>
      <c r="AD26" s="2522" t="s">
        <v>93</v>
      </c>
      <c r="AE26" s="2523" t="s">
        <v>93</v>
      </c>
      <c r="AF26" s="2522" t="s">
        <v>93</v>
      </c>
      <c r="AG26" s="2522" t="s">
        <v>93</v>
      </c>
      <c r="AH26" s="2522" t="s">
        <v>93</v>
      </c>
      <c r="AI26" s="2523" t="s">
        <v>93</v>
      </c>
      <c r="AJ26" s="2536" t="s">
        <v>91</v>
      </c>
      <c r="AK26" s="2537" t="s">
        <v>91</v>
      </c>
      <c r="AL26" s="2522" t="s">
        <v>92</v>
      </c>
      <c r="AM26" s="2522" t="s">
        <v>92</v>
      </c>
      <c r="AN26" s="2522" t="s">
        <v>91</v>
      </c>
      <c r="AO26" s="2523" t="s">
        <v>92</v>
      </c>
      <c r="AP26" s="2522" t="s">
        <v>92</v>
      </c>
      <c r="AQ26" s="2522" t="s">
        <v>92</v>
      </c>
      <c r="AR26" s="2523" t="s">
        <v>91</v>
      </c>
      <c r="AS26" s="2522" t="s">
        <v>92</v>
      </c>
      <c r="AT26" s="2522" t="s">
        <v>91</v>
      </c>
      <c r="AU26" s="2522" t="s">
        <v>91</v>
      </c>
      <c r="AV26" s="2523" t="s">
        <v>91</v>
      </c>
      <c r="AW26" s="2522" t="s">
        <v>92</v>
      </c>
      <c r="AX26" s="2522" t="s">
        <v>91</v>
      </c>
      <c r="AY26" s="2522" t="s">
        <v>92</v>
      </c>
      <c r="AZ26" s="2522" t="s">
        <v>92</v>
      </c>
      <c r="BA26" s="2522" t="s">
        <v>92</v>
      </c>
    </row>
    <row r="27" ht="18.75" customHeight="1">
      <c r="A27" s="158"/>
      <c r="B27" s="158"/>
      <c r="C27" s="2548" t="s">
        <v>201</v>
      </c>
      <c r="D27" s="2522" t="s">
        <v>93</v>
      </c>
      <c r="E27" s="2523" t="s">
        <v>93</v>
      </c>
      <c r="F27" s="2522" t="s">
        <v>91</v>
      </c>
      <c r="G27" s="2522" t="s">
        <v>91</v>
      </c>
      <c r="H27" s="2522" t="s">
        <v>92</v>
      </c>
      <c r="I27" s="2523" t="s">
        <v>92</v>
      </c>
      <c r="J27" s="2522" t="s">
        <v>92</v>
      </c>
      <c r="K27" s="2522" t="s">
        <v>91</v>
      </c>
      <c r="L27" s="2522" t="s">
        <v>91</v>
      </c>
      <c r="M27" s="2522" t="s">
        <v>117</v>
      </c>
      <c r="N27" s="2523" t="s">
        <v>91</v>
      </c>
      <c r="O27" s="2522" t="s">
        <v>93</v>
      </c>
      <c r="P27" s="2522" t="s">
        <v>93</v>
      </c>
      <c r="Q27" s="2522" t="s">
        <v>93</v>
      </c>
      <c r="R27" s="2522" t="s">
        <v>93</v>
      </c>
      <c r="S27" s="2522" t="s">
        <v>93</v>
      </c>
      <c r="T27" s="2522" t="s">
        <v>93</v>
      </c>
      <c r="U27" s="2522" t="s">
        <v>93</v>
      </c>
      <c r="V27" s="2523" t="s">
        <v>93</v>
      </c>
      <c r="W27" s="2522" t="s">
        <v>93</v>
      </c>
      <c r="X27" s="2522" t="s">
        <v>93</v>
      </c>
      <c r="Y27" s="2522" t="s">
        <v>93</v>
      </c>
      <c r="Z27" s="2522" t="s">
        <v>93</v>
      </c>
      <c r="AA27" s="2523" t="s">
        <v>93</v>
      </c>
      <c r="AB27" s="2522" t="s">
        <v>92</v>
      </c>
      <c r="AC27" s="2522" t="s">
        <v>91</v>
      </c>
      <c r="AD27" s="2522" t="s">
        <v>92</v>
      </c>
      <c r="AE27" s="2523" t="s">
        <v>91</v>
      </c>
      <c r="AF27" s="2522" t="s">
        <v>93</v>
      </c>
      <c r="AG27" s="2522" t="s">
        <v>93</v>
      </c>
      <c r="AH27" s="2522" t="s">
        <v>93</v>
      </c>
      <c r="AI27" s="2523" t="s">
        <v>93</v>
      </c>
      <c r="AJ27" s="2536" t="s">
        <v>91</v>
      </c>
      <c r="AK27" s="2537" t="s">
        <v>91</v>
      </c>
      <c r="AL27" s="2522" t="s">
        <v>92</v>
      </c>
      <c r="AM27" s="2522" t="s">
        <v>92</v>
      </c>
      <c r="AN27" s="2522" t="s">
        <v>91</v>
      </c>
      <c r="AO27" s="2523" t="s">
        <v>92</v>
      </c>
      <c r="AP27" s="2522" t="s">
        <v>93</v>
      </c>
      <c r="AQ27" s="2522" t="s">
        <v>93</v>
      </c>
      <c r="AR27" s="2523" t="s">
        <v>93</v>
      </c>
      <c r="AS27" s="2522" t="s">
        <v>93</v>
      </c>
      <c r="AT27" s="2522" t="s">
        <v>93</v>
      </c>
      <c r="AU27" s="2522" t="s">
        <v>93</v>
      </c>
      <c r="AV27" s="2523" t="s">
        <v>93</v>
      </c>
      <c r="AW27" s="2522" t="s">
        <v>92</v>
      </c>
      <c r="AX27" s="2522" t="s">
        <v>92</v>
      </c>
      <c r="AY27" s="2522" t="s">
        <v>92</v>
      </c>
      <c r="AZ27" s="2522" t="s">
        <v>92</v>
      </c>
      <c r="BA27" s="2522" t="s">
        <v>92</v>
      </c>
    </row>
    <row r="28" ht="18.75" customHeight="1">
      <c r="A28" s="158"/>
      <c r="B28" s="168"/>
      <c r="C28" s="2548" t="s">
        <v>48</v>
      </c>
      <c r="D28" s="2522" t="s">
        <v>92</v>
      </c>
      <c r="E28" s="2523" t="s">
        <v>91</v>
      </c>
      <c r="F28" s="2522" t="s">
        <v>91</v>
      </c>
      <c r="G28" s="2522" t="s">
        <v>91</v>
      </c>
      <c r="H28" s="2522" t="s">
        <v>92</v>
      </c>
      <c r="I28" s="2523" t="s">
        <v>92</v>
      </c>
      <c r="J28" s="2522" t="s">
        <v>93</v>
      </c>
      <c r="K28" s="2522" t="s">
        <v>93</v>
      </c>
      <c r="L28" s="2522" t="s">
        <v>93</v>
      </c>
      <c r="M28" s="2522" t="s">
        <v>93</v>
      </c>
      <c r="N28" s="2523" t="s">
        <v>93</v>
      </c>
      <c r="O28" s="2522" t="s">
        <v>93</v>
      </c>
      <c r="P28" s="2522" t="s">
        <v>93</v>
      </c>
      <c r="Q28" s="2522" t="s">
        <v>93</v>
      </c>
      <c r="R28" s="2522" t="s">
        <v>93</v>
      </c>
      <c r="S28" s="2522" t="s">
        <v>93</v>
      </c>
      <c r="T28" s="2522" t="s">
        <v>93</v>
      </c>
      <c r="U28" s="2522" t="s">
        <v>93</v>
      </c>
      <c r="V28" s="2523" t="s">
        <v>93</v>
      </c>
      <c r="W28" s="2522" t="s">
        <v>91</v>
      </c>
      <c r="X28" s="2522" t="s">
        <v>91</v>
      </c>
      <c r="Y28" s="2522" t="s">
        <v>92</v>
      </c>
      <c r="Z28" s="2522" t="s">
        <v>92</v>
      </c>
      <c r="AA28" s="2523" t="s">
        <v>92</v>
      </c>
      <c r="AB28" s="2522" t="s">
        <v>92</v>
      </c>
      <c r="AC28" s="2522" t="s">
        <v>91</v>
      </c>
      <c r="AD28" s="2522" t="s">
        <v>91</v>
      </c>
      <c r="AE28" s="2523" t="s">
        <v>91</v>
      </c>
      <c r="AF28" s="2522" t="s">
        <v>92</v>
      </c>
      <c r="AG28" s="2522" t="s">
        <v>91</v>
      </c>
      <c r="AH28" s="2522" t="s">
        <v>91</v>
      </c>
      <c r="AI28" s="2523" t="s">
        <v>92</v>
      </c>
      <c r="AJ28" s="2536" t="s">
        <v>91</v>
      </c>
      <c r="AK28" s="2537" t="s">
        <v>91</v>
      </c>
      <c r="AL28" s="2522" t="s">
        <v>93</v>
      </c>
      <c r="AM28" s="2522" t="s">
        <v>93</v>
      </c>
      <c r="AN28" s="2522" t="s">
        <v>93</v>
      </c>
      <c r="AO28" s="2523" t="s">
        <v>93</v>
      </c>
      <c r="AP28" s="2522" t="s">
        <v>92</v>
      </c>
      <c r="AQ28" s="2522" t="s">
        <v>91</v>
      </c>
      <c r="AR28" s="2523" t="s">
        <v>92</v>
      </c>
      <c r="AS28" s="2522" t="s">
        <v>93</v>
      </c>
      <c r="AT28" s="2522" t="s">
        <v>93</v>
      </c>
      <c r="AU28" s="2522" t="s">
        <v>93</v>
      </c>
      <c r="AV28" s="2523" t="s">
        <v>93</v>
      </c>
      <c r="AW28" s="2522" t="s">
        <v>92</v>
      </c>
      <c r="AX28" s="2522" t="s">
        <v>91</v>
      </c>
      <c r="AY28" s="2522" t="s">
        <v>92</v>
      </c>
      <c r="AZ28" s="2522" t="s">
        <v>92</v>
      </c>
      <c r="BA28" s="2522" t="s">
        <v>92</v>
      </c>
    </row>
    <row r="29" ht="18.75" customHeight="1">
      <c r="A29" s="168"/>
      <c r="B29" s="2549" t="s">
        <v>258</v>
      </c>
      <c r="C29" s="2550" t="s">
        <v>176</v>
      </c>
      <c r="D29" s="2522" t="s">
        <v>117</v>
      </c>
      <c r="E29" s="2523" t="s">
        <v>91</v>
      </c>
      <c r="F29" s="2522" t="s">
        <v>92</v>
      </c>
      <c r="G29" s="2522" t="s">
        <v>91</v>
      </c>
      <c r="H29" s="2522" t="s">
        <v>92</v>
      </c>
      <c r="I29" s="2523" t="s">
        <v>117</v>
      </c>
      <c r="J29" s="2522" t="s">
        <v>91</v>
      </c>
      <c r="K29" s="2522" t="s">
        <v>91</v>
      </c>
      <c r="L29" s="2522" t="s">
        <v>91</v>
      </c>
      <c r="M29" s="2522" t="s">
        <v>91</v>
      </c>
      <c r="N29" s="2523" t="s">
        <v>91</v>
      </c>
      <c r="O29" s="2522" t="s">
        <v>92</v>
      </c>
      <c r="P29" s="2522" t="s">
        <v>91</v>
      </c>
      <c r="Q29" s="2522" t="s">
        <v>91</v>
      </c>
      <c r="R29" s="2522" t="s">
        <v>92</v>
      </c>
      <c r="S29" s="2522" t="s">
        <v>91</v>
      </c>
      <c r="T29" s="2522" t="s">
        <v>91</v>
      </c>
      <c r="U29" s="2522" t="s">
        <v>91</v>
      </c>
      <c r="V29" s="2523" t="s">
        <v>91</v>
      </c>
      <c r="W29" s="2522" t="s">
        <v>92</v>
      </c>
      <c r="X29" s="2522" t="s">
        <v>91</v>
      </c>
      <c r="Y29" s="2522" t="s">
        <v>91</v>
      </c>
      <c r="Z29" s="2522" t="s">
        <v>91</v>
      </c>
      <c r="AA29" s="2523" t="s">
        <v>117</v>
      </c>
      <c r="AB29" s="2522" t="s">
        <v>91</v>
      </c>
      <c r="AC29" s="2522" t="s">
        <v>92</v>
      </c>
      <c r="AD29" s="2522" t="s">
        <v>91</v>
      </c>
      <c r="AE29" s="2523" t="s">
        <v>91</v>
      </c>
      <c r="AF29" s="2522" t="s">
        <v>92</v>
      </c>
      <c r="AG29" s="2522" t="s">
        <v>91</v>
      </c>
      <c r="AH29" s="2522" t="s">
        <v>91</v>
      </c>
      <c r="AI29" s="2523" t="s">
        <v>91</v>
      </c>
      <c r="AJ29" s="2551" t="s">
        <v>91</v>
      </c>
      <c r="AK29" s="2552" t="s">
        <v>91</v>
      </c>
      <c r="AL29" s="2522" t="s">
        <v>91</v>
      </c>
      <c r="AM29" s="2522" t="s">
        <v>91</v>
      </c>
      <c r="AN29" s="2522" t="s">
        <v>91</v>
      </c>
      <c r="AO29" s="2523" t="s">
        <v>91</v>
      </c>
      <c r="AP29" s="2522" t="s">
        <v>91</v>
      </c>
      <c r="AQ29" s="2522" t="s">
        <v>92</v>
      </c>
      <c r="AR29" s="2523" t="s">
        <v>91</v>
      </c>
      <c r="AS29" s="2522" t="s">
        <v>91</v>
      </c>
      <c r="AT29" s="2522" t="s">
        <v>91</v>
      </c>
      <c r="AU29" s="2522" t="s">
        <v>117</v>
      </c>
      <c r="AV29" s="2523" t="s">
        <v>91</v>
      </c>
      <c r="AW29" s="2522" t="s">
        <v>117</v>
      </c>
      <c r="AX29" s="2522" t="s">
        <v>117</v>
      </c>
      <c r="AY29" s="2522" t="s">
        <v>92</v>
      </c>
      <c r="AZ29" s="2522" t="s">
        <v>117</v>
      </c>
      <c r="BA29" s="2522" t="s">
        <v>117</v>
      </c>
    </row>
    <row r="30" ht="9.75" customHeight="1">
      <c r="A30" s="2553"/>
      <c r="B30" s="2554"/>
      <c r="C30" s="2554"/>
      <c r="D30" s="2235" t="str">
        <f t="shared" ref="D30:BA30" si="1">LINKURL(D5)</f>
        <v>https://www.reddit.com/r/RMTK/comments/c8d1ja/m0076_motie_tot_uitdelen_oordoppen_bij_festivals/</v>
      </c>
      <c r="E30" s="2350" t="str">
        <f t="shared" si="1"/>
        <v>https://www.reddit.com/r/RMTK/comments/c8rc1h/w0028_wetswijziging_tot_aanvulling_op_de_wet/</v>
      </c>
      <c r="F30" s="2350" t="str">
        <f t="shared" si="1"/>
        <v>https://www.reddit.com/r/RMTK/comments/caneu6/m0077_motie_tot_opstellen_van_klimaatnota/</v>
      </c>
      <c r="G30" s="2235" t="str">
        <f t="shared" si="1"/>
        <v>https://www.reddit.com/r/RMTK/comments/cb3edh/motie_tot_het_aanpakken_van_problemen_rondom_112/</v>
      </c>
      <c r="H30" s="2235" t="str">
        <f t="shared" si="1"/>
        <v>https://www.reddit.com/r/RMTK/comments/cbwf92/m0079_motie_tot_uitvoering_m0050/</v>
      </c>
      <c r="I30" s="2350" t="str">
        <f t="shared" si="1"/>
        <v>https://www.reddit.com/r/RMTK/comments/cbidty/w0029_wijziging_van_het_burgerlijk_wetboek_boek_1/</v>
      </c>
      <c r="J30" s="2168" t="str">
        <f t="shared" si="1"/>
        <v>https://www.reddit.com/r/RMTK/comments/cdkiso/m0080_motie_tot_onderzoek_naar_circulair_maken/</v>
      </c>
      <c r="K30" s="2235" t="str">
        <f t="shared" si="1"/>
        <v>https://www.reddit.com/r/RMTK/comments/cdxunf/m0081_motie_tot_versimpeling_belastingsysteem/</v>
      </c>
      <c r="L30" s="2235" t="str">
        <f t="shared" si="1"/>
        <v>https://www.reddit.com/r/RMTK/comments/cee57r/w0025_tweede_lezingkoepelwet_kerncentrales/</v>
      </c>
      <c r="M30" s="2235" t="str">
        <f t="shared" si="1"/>
        <v>https://www.reddit.com/r/RMTK/comments/cedsei/w0030_wijziging_van_het_burgerlijk_wetboek_boek_1/</v>
      </c>
      <c r="N30" s="2555" t="str">
        <f t="shared" si="1"/>
        <v>https://www.reddit.com/r/RMTK/comments/cev17r/w0031_hernieuwde_klimaatwet_2019/</v>
      </c>
      <c r="O30" s="2556" t="str">
        <f t="shared" si="1"/>
        <v>https://www.reddit.com/r/RMTK/comments/cgeui7/m0082_motie_tot_openbaar_maken_partijlidmaatschap/</v>
      </c>
      <c r="P30" s="2556" t="str">
        <f t="shared" si="1"/>
        <v>https://www.reddit.com/r/RMTK/comments/cgx23i/m0083m0086_moties_ingediend_bij_debat_over_de/</v>
      </c>
      <c r="Q30" s="2556" t="str">
        <f t="shared" si="1"/>
        <v>https://www.reddit.com/r/RMTK/comments/cgx23i/m0083m0086_moties_ingediend_bij_debat_over_de/</v>
      </c>
      <c r="R30" s="2556" t="str">
        <f t="shared" si="1"/>
        <v>https://www.reddit.com/r/RMTK/comments/cgx23i/m0083m0086_moties_ingediend_bij_debat_over_de/</v>
      </c>
      <c r="S30" s="2556" t="str">
        <f t="shared" si="1"/>
        <v>https://www.reddit.com/r/RMTK/comments/cgx23i/m0083m0086_moties_ingediend_bij_debat_over_de/</v>
      </c>
      <c r="T30" s="2556" t="str">
        <f t="shared" si="1"/>
        <v>https://www.reddit.com/r/RMTK/comments/cgx44w/m0087_motie_verduidelijking_en_samenvoeging/</v>
      </c>
      <c r="U30" s="2556" t="str">
        <f t="shared" si="1"/>
        <v>https://www.reddit.com/r/RMTK/comments/chp5na/m0088_motie_tot_verandering_regelgeving_regeling/</v>
      </c>
      <c r="V30" s="2237" t="str">
        <f t="shared" si="1"/>
        <v>https://www.reddit.com/r/RMTK/comments/cgethq/wetsvoorstel_tot_budgettaire_begroting/</v>
      </c>
      <c r="W30" s="2556" t="str">
        <f t="shared" si="1"/>
        <v>https://www.reddit.com/r/RMTK/comments/cj9vrz/m0089_motie_met_het_verzoek_om_informatie_over/</v>
      </c>
      <c r="X30" s="2556" t="str">
        <f t="shared" si="1"/>
        <v>https://www.reddit.com/r/RMTK/comments/ckamkr/m0090_motie_tot_organisatie_van_een_diplomatieke/</v>
      </c>
      <c r="Y30" s="2556" t="str">
        <f t="shared" si="1"/>
        <v>https://www.reddit.com/r/RMTK/comments/ckpx42/m0091_motie_tot_erkenning_van_een_derde_geslacht/</v>
      </c>
      <c r="Z30" s="2556" t="str">
        <f t="shared" si="1"/>
        <v>https://www.reddit.com/r/RMTK/comments/cjbw7f/w0033i_amendement_op_wet_erkenning_recht_op/</v>
      </c>
      <c r="AA30" s="2557" t="str">
        <f t="shared" si="1"/>
        <v>https://www.reddit.com/r/RMTK/comments/ciktf7/w0034_wet_lobbyverbod/</v>
      </c>
      <c r="AB30" s="2556" t="str">
        <f t="shared" si="1"/>
        <v>https://www.reddit.com/r/RMTK/comments/cn3gr4/m0092_motie_tot_het_cre%C3%ABren_van_beschutte/</v>
      </c>
      <c r="AC30" s="2556" t="str">
        <f t="shared" si="1"/>
        <v>https://www.reddit.com/r/RMTK/comments/cn3hgk/m0093_motie_tot_verdere_privatisering_abn_amro/</v>
      </c>
      <c r="AD30" s="2556" t="str">
        <f t="shared" si="1"/>
        <v>https://www.reddit.com/r/RMTK/comments/ch9l69/w0033_wet_erkenning_recht_op_voltooid_leven/</v>
      </c>
      <c r="AE30" s="2557" t="str">
        <f t="shared" si="1"/>
        <v>https://www.reddit.com/r/RMTK/comments/clxgpr/w0035i_amendement_op_wet_belasting_op_grote/</v>
      </c>
      <c r="AF30" s="2556" t="str">
        <f t="shared" si="1"/>
        <v>https://www.reddit.com/r/RMTK/comments/cpw0f0/m0094_motie_vrijgezellenbelasting/</v>
      </c>
      <c r="AG30" s="2556" t="str">
        <f t="shared" si="1"/>
        <v>https://www.reddit.com/r/RMTK/comments/cqh410/m0095m0096_moties_over_datalek_rdw/</v>
      </c>
      <c r="AH30" s="2556" t="str">
        <f t="shared" si="1"/>
        <v>https://www.reddit.com/r/RMTK/comments/cqh410/m0095m0096_moties_over_datalek_rdw/</v>
      </c>
      <c r="AI30" s="2557" t="str">
        <f t="shared" si="1"/>
        <v>https://www.reddit.com/r/RMTK/comments/cr3z5o/m0097_motie_tot_evaluatie_van/</v>
      </c>
      <c r="AJ30" s="2558" t="str">
        <f t="shared" si="1"/>
        <v>https://www.reddit.com/r/RMTK/comments/csznc1/m0098_motie_tot_onderzoek_doen_naar_een/</v>
      </c>
      <c r="AK30" s="2559" t="str">
        <f t="shared" si="1"/>
        <v>https://www.reddit.com/r/RMTK/comments/ctxz1e/m0099_motie_tot_reductie_verdrinkingsdoden/</v>
      </c>
      <c r="AL30" s="2168" t="str">
        <f t="shared" si="1"/>
        <v>https://www.reddit.com/r/RMTK/comments/cvous8/m0100_motie_tot_cre%C3%ABren_vergunning_voor_bezit/</v>
      </c>
      <c r="AM30" s="2556" t="str">
        <f t="shared" si="1"/>
        <v>https://www.reddit.com/r/RMTK/comments/cw5pmx/m0101_motie_tot_boycot_van_fout_vlees_en_foute/</v>
      </c>
      <c r="AN30" s="2556" t="str">
        <f t="shared" si="1"/>
        <v>https://www.reddit.com/r/RMTK/comments/cwp79y/w0036_wet_ter_erkenning_van_de_nederlandse/</v>
      </c>
      <c r="AO30" s="2557" t="str">
        <f t="shared" si="1"/>
        <v>https://www.reddit.com/r/RMTK/comments/cx11b8/w0037_wetswijziging_wet_op_de_omzetbelasting_1968/</v>
      </c>
      <c r="AP30" s="2556" t="str">
        <f t="shared" si="1"/>
        <v>https://www.reddit.com/r/RMTK/comments/cz88o9/m0102_motie_tot_gratis_maken_ov/</v>
      </c>
      <c r="AQ30" s="2556" t="str">
        <f t="shared" si="1"/>
        <v>https://www.reddit.com/r/RMTK/comments/czpknp/m0103_motie_tot_herbenoeming_burgemeester_van/</v>
      </c>
      <c r="AR30" s="2168" t="str">
        <f t="shared" si="1"/>
        <v>https://www.reddit.com/r/RMTK/comments/cyt6r7/w0038_wetsvoorstel_tot_wijziging_van_de_wet_op_de/</v>
      </c>
      <c r="AS30" s="2556" t="str">
        <f t="shared" si="1"/>
        <v>https://www.reddit.com/r/RMTK/comments/d0it9u/m0104_motie_ter_bevordering_van_het_frysk_en/</v>
      </c>
      <c r="AT30" s="2556" t="str">
        <f t="shared" si="1"/>
        <v>https://www.reddit.com/r/RMTK/comments/d2x07x/m0105_motie_tot_europese_samenwerking_op_het/</v>
      </c>
      <c r="AU30" s="2556" t="str">
        <f t="shared" si="1"/>
        <v>https://www.reddit.com/r/RMTK/comments/d2x1rb/m0106_motie_tot_verbeteren_voedselveiligheid/</v>
      </c>
      <c r="AV30" s="2557" t="str">
        <f t="shared" si="1"/>
        <v>https://www.reddit.com/r/RMTK/comments/d37gxt/m0107_motie_tot_gelijk_visumbeleid_door_de/</v>
      </c>
      <c r="AW30" s="2168" t="str">
        <f t="shared" si="1"/>
        <v>https://www.reddit.com/r/RMTK/comments/d55568/m0108_voorwaardelijke_motie_van_wantrouwen_jegens/</v>
      </c>
      <c r="AX30" s="2168" t="str">
        <f t="shared" si="1"/>
        <v>https://www.reddit.com/r/RMTK/comments/d5jbj5/m0109_motie_tot_gelijkstelling_vrijstelling_op/</v>
      </c>
      <c r="AY30" s="2168" t="str">
        <f t="shared" si="1"/>
        <v>https://www.reddit.com/r/RMTK/comments/d6jhpf/m0110_motie_tot_aanpassing_van_het_vuurwerkbesluit/</v>
      </c>
      <c r="AZ30" s="2168" t="str">
        <f t="shared" si="1"/>
        <v>https://www.reddit.com/r/RMTK/comments/d57042/w0039i_amendement_wetsvoorstel_versoepeling/</v>
      </c>
      <c r="BA30" s="2168" t="str">
        <f t="shared" si="1"/>
        <v>https://www.reddit.com/r/RMTK/comments/d6jji7/w0040_wet_register_openbare_hygi%C3%ABne_en/</v>
      </c>
    </row>
    <row r="31" ht="18.75" customHeight="1">
      <c r="A31" s="2560" t="s">
        <v>1944</v>
      </c>
      <c r="B31" s="2561" t="s">
        <v>243</v>
      </c>
      <c r="C31" s="2562" t="s">
        <v>252</v>
      </c>
      <c r="D31" s="2522" t="s">
        <v>92</v>
      </c>
      <c r="E31" s="2523" t="s">
        <v>91</v>
      </c>
      <c r="F31" s="2522" t="s">
        <v>91</v>
      </c>
      <c r="G31" s="2522" t="s">
        <v>91</v>
      </c>
      <c r="H31" s="2522" t="s">
        <v>91</v>
      </c>
      <c r="I31" s="2523" t="s">
        <v>91</v>
      </c>
      <c r="J31" s="2522" t="s">
        <v>118</v>
      </c>
      <c r="K31" s="2522" t="s">
        <v>118</v>
      </c>
      <c r="L31" s="2522" t="s">
        <v>118</v>
      </c>
      <c r="M31" s="2522" t="s">
        <v>118</v>
      </c>
      <c r="N31" s="2523" t="s">
        <v>118</v>
      </c>
      <c r="O31" s="2522" t="s">
        <v>118</v>
      </c>
      <c r="P31" s="2522" t="s">
        <v>118</v>
      </c>
      <c r="Q31" s="2522" t="s">
        <v>118</v>
      </c>
      <c r="R31" s="2522" t="s">
        <v>118</v>
      </c>
      <c r="S31" s="2522" t="s">
        <v>118</v>
      </c>
      <c r="T31" s="2522" t="s">
        <v>118</v>
      </c>
      <c r="U31" s="2522" t="s">
        <v>118</v>
      </c>
      <c r="V31" s="2523" t="s">
        <v>118</v>
      </c>
      <c r="W31" s="2522" t="s">
        <v>118</v>
      </c>
      <c r="X31" s="2522" t="s">
        <v>118</v>
      </c>
      <c r="Y31" s="2522" t="s">
        <v>118</v>
      </c>
      <c r="Z31" s="2522" t="s">
        <v>118</v>
      </c>
      <c r="AA31" s="2523" t="s">
        <v>118</v>
      </c>
      <c r="AB31" s="2522" t="s">
        <v>118</v>
      </c>
      <c r="AC31" s="2522" t="s">
        <v>118</v>
      </c>
      <c r="AD31" s="2522" t="s">
        <v>118</v>
      </c>
      <c r="AE31" s="2523" t="s">
        <v>118</v>
      </c>
      <c r="AF31" s="2522" t="s">
        <v>118</v>
      </c>
      <c r="AG31" s="2522" t="s">
        <v>118</v>
      </c>
      <c r="AH31" s="2522" t="s">
        <v>118</v>
      </c>
      <c r="AI31" s="2523" t="s">
        <v>118</v>
      </c>
      <c r="AJ31" s="2530" t="s">
        <v>118</v>
      </c>
      <c r="AK31" s="2531" t="s">
        <v>118</v>
      </c>
      <c r="AL31" s="2522" t="s">
        <v>118</v>
      </c>
      <c r="AM31" s="2522" t="s">
        <v>118</v>
      </c>
      <c r="AN31" s="2522" t="s">
        <v>118</v>
      </c>
      <c r="AO31" s="2523" t="s">
        <v>118</v>
      </c>
      <c r="AP31" s="2522" t="s">
        <v>118</v>
      </c>
      <c r="AQ31" s="2522" t="s">
        <v>118</v>
      </c>
      <c r="AR31" s="2523" t="s">
        <v>118</v>
      </c>
      <c r="AS31" s="2522" t="s">
        <v>118</v>
      </c>
      <c r="AT31" s="2522" t="s">
        <v>118</v>
      </c>
      <c r="AU31" s="2522" t="s">
        <v>118</v>
      </c>
      <c r="AV31" s="2523" t="s">
        <v>118</v>
      </c>
      <c r="AW31" s="2522" t="s">
        <v>118</v>
      </c>
      <c r="AX31" s="2522" t="s">
        <v>118</v>
      </c>
      <c r="AY31" s="2522" t="s">
        <v>118</v>
      </c>
      <c r="AZ31" s="2522" t="s">
        <v>118</v>
      </c>
      <c r="BA31" s="2522" t="s">
        <v>118</v>
      </c>
    </row>
    <row r="32" ht="18.75" customHeight="1">
      <c r="A32" s="158"/>
      <c r="B32" s="813"/>
      <c r="C32" s="2563" t="s">
        <v>1167</v>
      </c>
      <c r="D32" s="2522" t="s">
        <v>92</v>
      </c>
      <c r="E32" s="2523" t="s">
        <v>91</v>
      </c>
      <c r="F32" s="2522" t="s">
        <v>91</v>
      </c>
      <c r="G32" s="2522" t="s">
        <v>91</v>
      </c>
      <c r="H32" s="2522" t="s">
        <v>91</v>
      </c>
      <c r="I32" s="2523" t="s">
        <v>91</v>
      </c>
      <c r="J32" s="2522" t="s">
        <v>93</v>
      </c>
      <c r="K32" s="2522" t="s">
        <v>93</v>
      </c>
      <c r="L32" s="2522" t="s">
        <v>93</v>
      </c>
      <c r="M32" s="2522" t="s">
        <v>93</v>
      </c>
      <c r="N32" s="2523" t="s">
        <v>93</v>
      </c>
      <c r="O32" s="2522" t="s">
        <v>93</v>
      </c>
      <c r="P32" s="2522" t="s">
        <v>93</v>
      </c>
      <c r="Q32" s="2522" t="s">
        <v>93</v>
      </c>
      <c r="R32" s="2522" t="s">
        <v>93</v>
      </c>
      <c r="S32" s="2522" t="s">
        <v>93</v>
      </c>
      <c r="T32" s="2522" t="s">
        <v>93</v>
      </c>
      <c r="U32" s="2522" t="s">
        <v>93</v>
      </c>
      <c r="V32" s="2523" t="s">
        <v>93</v>
      </c>
      <c r="W32" s="2522" t="s">
        <v>91</v>
      </c>
      <c r="X32" s="2522" t="s">
        <v>91</v>
      </c>
      <c r="Y32" s="2522" t="s">
        <v>91</v>
      </c>
      <c r="Z32" s="2522" t="s">
        <v>92</v>
      </c>
      <c r="AA32" s="2523" t="s">
        <v>92</v>
      </c>
      <c r="AB32" s="2522" t="s">
        <v>93</v>
      </c>
      <c r="AC32" s="2522" t="s">
        <v>93</v>
      </c>
      <c r="AD32" s="2522" t="s">
        <v>93</v>
      </c>
      <c r="AE32" s="2523" t="s">
        <v>93</v>
      </c>
      <c r="AF32" s="2522" t="s">
        <v>93</v>
      </c>
      <c r="AG32" s="2522" t="s">
        <v>93</v>
      </c>
      <c r="AH32" s="2522" t="s">
        <v>93</v>
      </c>
      <c r="AI32" s="2523" t="s">
        <v>93</v>
      </c>
      <c r="AJ32" s="2536" t="s">
        <v>91</v>
      </c>
      <c r="AK32" s="2537" t="s">
        <v>91</v>
      </c>
      <c r="AL32" s="2522" t="s">
        <v>93</v>
      </c>
      <c r="AM32" s="2522" t="s">
        <v>93</v>
      </c>
      <c r="AN32" s="2522" t="s">
        <v>93</v>
      </c>
      <c r="AO32" s="2523" t="s">
        <v>93</v>
      </c>
      <c r="AP32" s="2522" t="s">
        <v>93</v>
      </c>
      <c r="AQ32" s="2522" t="s">
        <v>93</v>
      </c>
      <c r="AR32" s="2523" t="s">
        <v>93</v>
      </c>
      <c r="AS32" s="2522" t="s">
        <v>93</v>
      </c>
      <c r="AT32" s="2522" t="s">
        <v>93</v>
      </c>
      <c r="AU32" s="2522" t="s">
        <v>93</v>
      </c>
      <c r="AV32" s="2523" t="s">
        <v>93</v>
      </c>
      <c r="AW32" s="2522" t="s">
        <v>93</v>
      </c>
      <c r="AX32" s="2522" t="s">
        <v>93</v>
      </c>
      <c r="AY32" s="2522" t="s">
        <v>93</v>
      </c>
      <c r="AZ32" s="2522" t="s">
        <v>93</v>
      </c>
      <c r="BA32" s="2522" t="s">
        <v>93</v>
      </c>
    </row>
    <row r="33" ht="18.75" customHeight="1">
      <c r="A33" s="158"/>
      <c r="B33" s="813"/>
      <c r="C33" s="2564" t="s">
        <v>249</v>
      </c>
      <c r="D33" s="2522" t="s">
        <v>92</v>
      </c>
      <c r="E33" s="2523" t="s">
        <v>91</v>
      </c>
      <c r="F33" s="2522" t="s">
        <v>91</v>
      </c>
      <c r="G33" s="2522" t="s">
        <v>91</v>
      </c>
      <c r="H33" s="2522" t="s">
        <v>91</v>
      </c>
      <c r="I33" s="2523" t="s">
        <v>91</v>
      </c>
      <c r="J33" s="2522" t="s">
        <v>91</v>
      </c>
      <c r="K33" s="2522" t="s">
        <v>91</v>
      </c>
      <c r="L33" s="2522" t="s">
        <v>91</v>
      </c>
      <c r="M33" s="2522" t="s">
        <v>91</v>
      </c>
      <c r="N33" s="2523" t="s">
        <v>91</v>
      </c>
      <c r="O33" s="2522" t="s">
        <v>92</v>
      </c>
      <c r="P33" s="2522" t="s">
        <v>91</v>
      </c>
      <c r="Q33" s="2522" t="s">
        <v>92</v>
      </c>
      <c r="R33" s="2522" t="s">
        <v>91</v>
      </c>
      <c r="S33" s="2522" t="s">
        <v>91</v>
      </c>
      <c r="T33" s="2522" t="s">
        <v>91</v>
      </c>
      <c r="U33" s="2522" t="s">
        <v>91</v>
      </c>
      <c r="V33" s="2523" t="s">
        <v>91</v>
      </c>
      <c r="W33" s="2522" t="s">
        <v>91</v>
      </c>
      <c r="X33" s="2522" t="s">
        <v>91</v>
      </c>
      <c r="Y33" s="2522" t="s">
        <v>91</v>
      </c>
      <c r="Z33" s="2522" t="s">
        <v>92</v>
      </c>
      <c r="AA33" s="2523" t="s">
        <v>92</v>
      </c>
      <c r="AB33" s="2522" t="s">
        <v>91</v>
      </c>
      <c r="AC33" s="2522" t="s">
        <v>92</v>
      </c>
      <c r="AD33" s="2522" t="s">
        <v>92</v>
      </c>
      <c r="AE33" s="2523" t="s">
        <v>91</v>
      </c>
      <c r="AF33" s="2522" t="s">
        <v>92</v>
      </c>
      <c r="AG33" s="2522" t="s">
        <v>91</v>
      </c>
      <c r="AH33" s="2522" t="s">
        <v>91</v>
      </c>
      <c r="AI33" s="2523" t="s">
        <v>91</v>
      </c>
      <c r="AJ33" s="2536" t="s">
        <v>91</v>
      </c>
      <c r="AK33" s="2537" t="s">
        <v>91</v>
      </c>
      <c r="AL33" s="2522" t="s">
        <v>93</v>
      </c>
      <c r="AM33" s="2522" t="s">
        <v>93</v>
      </c>
      <c r="AN33" s="2522" t="s">
        <v>93</v>
      </c>
      <c r="AO33" s="2523" t="s">
        <v>93</v>
      </c>
      <c r="AP33" s="2522" t="s">
        <v>93</v>
      </c>
      <c r="AQ33" s="2522" t="s">
        <v>93</v>
      </c>
      <c r="AR33" s="2523" t="s">
        <v>93</v>
      </c>
      <c r="AS33" s="2522" t="s">
        <v>93</v>
      </c>
      <c r="AT33" s="2522" t="s">
        <v>93</v>
      </c>
      <c r="AU33" s="2522" t="s">
        <v>93</v>
      </c>
      <c r="AV33" s="2523" t="s">
        <v>93</v>
      </c>
      <c r="AW33" s="2522" t="s">
        <v>93</v>
      </c>
      <c r="AX33" s="2522" t="s">
        <v>93</v>
      </c>
      <c r="AY33" s="2522" t="s">
        <v>93</v>
      </c>
      <c r="AZ33" s="2522" t="s">
        <v>93</v>
      </c>
      <c r="BA33" s="2522" t="s">
        <v>93</v>
      </c>
    </row>
    <row r="34" ht="18.75" customHeight="1">
      <c r="A34" s="158"/>
      <c r="B34" s="813"/>
      <c r="C34" s="2565" t="s">
        <v>1358</v>
      </c>
      <c r="D34" s="2522" t="s">
        <v>91</v>
      </c>
      <c r="E34" s="2523" t="s">
        <v>91</v>
      </c>
      <c r="F34" s="2522" t="s">
        <v>91</v>
      </c>
      <c r="G34" s="2522" t="s">
        <v>91</v>
      </c>
      <c r="H34" s="2522" t="s">
        <v>91</v>
      </c>
      <c r="I34" s="2523" t="s">
        <v>91</v>
      </c>
      <c r="J34" s="2522" t="s">
        <v>93</v>
      </c>
      <c r="K34" s="2522" t="s">
        <v>93</v>
      </c>
      <c r="L34" s="2522" t="s">
        <v>93</v>
      </c>
      <c r="M34" s="2522" t="s">
        <v>93</v>
      </c>
      <c r="N34" s="2523" t="s">
        <v>93</v>
      </c>
      <c r="O34" s="2522" t="s">
        <v>118</v>
      </c>
      <c r="P34" s="2522" t="s">
        <v>118</v>
      </c>
      <c r="Q34" s="2522" t="s">
        <v>118</v>
      </c>
      <c r="R34" s="2522" t="s">
        <v>118</v>
      </c>
      <c r="S34" s="2522" t="s">
        <v>118</v>
      </c>
      <c r="T34" s="2522" t="s">
        <v>118</v>
      </c>
      <c r="U34" s="2522" t="s">
        <v>118</v>
      </c>
      <c r="V34" s="2523" t="s">
        <v>118</v>
      </c>
      <c r="W34" s="2522" t="s">
        <v>118</v>
      </c>
      <c r="X34" s="2522" t="s">
        <v>118</v>
      </c>
      <c r="Y34" s="2522" t="s">
        <v>118</v>
      </c>
      <c r="Z34" s="2522" t="s">
        <v>118</v>
      </c>
      <c r="AA34" s="2523" t="s">
        <v>118</v>
      </c>
      <c r="AB34" s="2522" t="s">
        <v>118</v>
      </c>
      <c r="AC34" s="2522" t="s">
        <v>118</v>
      </c>
      <c r="AD34" s="2522" t="s">
        <v>118</v>
      </c>
      <c r="AE34" s="2523" t="s">
        <v>118</v>
      </c>
      <c r="AF34" s="2522" t="s">
        <v>118</v>
      </c>
      <c r="AG34" s="2522" t="s">
        <v>118</v>
      </c>
      <c r="AH34" s="2522" t="s">
        <v>118</v>
      </c>
      <c r="AI34" s="2523" t="s">
        <v>118</v>
      </c>
      <c r="AJ34" s="2530" t="s">
        <v>118</v>
      </c>
      <c r="AK34" s="2531" t="s">
        <v>118</v>
      </c>
      <c r="AL34" s="2522" t="s">
        <v>118</v>
      </c>
      <c r="AM34" s="2522" t="s">
        <v>118</v>
      </c>
      <c r="AN34" s="2522" t="s">
        <v>118</v>
      </c>
      <c r="AO34" s="2523" t="s">
        <v>118</v>
      </c>
      <c r="AP34" s="2522" t="s">
        <v>118</v>
      </c>
      <c r="AQ34" s="2522" t="s">
        <v>118</v>
      </c>
      <c r="AR34" s="2523" t="s">
        <v>118</v>
      </c>
      <c r="AS34" s="2522" t="s">
        <v>118</v>
      </c>
      <c r="AT34" s="2522" t="s">
        <v>118</v>
      </c>
      <c r="AU34" s="2522" t="s">
        <v>118</v>
      </c>
      <c r="AV34" s="2523" t="s">
        <v>118</v>
      </c>
      <c r="AW34" s="2522" t="s">
        <v>118</v>
      </c>
      <c r="AX34" s="2522" t="s">
        <v>118</v>
      </c>
      <c r="AY34" s="2522" t="s">
        <v>118</v>
      </c>
      <c r="AZ34" s="2522" t="s">
        <v>118</v>
      </c>
      <c r="BA34" s="2522" t="s">
        <v>118</v>
      </c>
    </row>
    <row r="35" ht="18.75" customHeight="1">
      <c r="A35" s="158"/>
      <c r="B35" s="813"/>
      <c r="C35" s="2566" t="s">
        <v>326</v>
      </c>
      <c r="D35" s="2522" t="s">
        <v>118</v>
      </c>
      <c r="E35" s="2523" t="s">
        <v>118</v>
      </c>
      <c r="F35" s="2522" t="s">
        <v>118</v>
      </c>
      <c r="G35" s="2522" t="s">
        <v>118</v>
      </c>
      <c r="H35" s="2522" t="s">
        <v>118</v>
      </c>
      <c r="I35" s="2523" t="s">
        <v>118</v>
      </c>
      <c r="J35" s="2522" t="s">
        <v>118</v>
      </c>
      <c r="K35" s="2522" t="s">
        <v>118</v>
      </c>
      <c r="L35" s="2522" t="s">
        <v>118</v>
      </c>
      <c r="M35" s="2522" t="s">
        <v>118</v>
      </c>
      <c r="N35" s="2523" t="s">
        <v>118</v>
      </c>
      <c r="O35" s="2522" t="s">
        <v>92</v>
      </c>
      <c r="P35" s="2522" t="s">
        <v>91</v>
      </c>
      <c r="Q35" s="2522" t="s">
        <v>92</v>
      </c>
      <c r="R35" s="2522" t="s">
        <v>91</v>
      </c>
      <c r="S35" s="2522" t="s">
        <v>91</v>
      </c>
      <c r="T35" s="2522" t="s">
        <v>91</v>
      </c>
      <c r="U35" s="2522" t="s">
        <v>91</v>
      </c>
      <c r="V35" s="2523" t="s">
        <v>91</v>
      </c>
      <c r="W35" s="2522" t="s">
        <v>91</v>
      </c>
      <c r="X35" s="2522" t="s">
        <v>91</v>
      </c>
      <c r="Y35" s="2522" t="s">
        <v>91</v>
      </c>
      <c r="Z35" s="2522" t="s">
        <v>92</v>
      </c>
      <c r="AA35" s="2523" t="s">
        <v>92</v>
      </c>
      <c r="AB35" s="2522" t="s">
        <v>93</v>
      </c>
      <c r="AC35" s="2522" t="s">
        <v>93</v>
      </c>
      <c r="AD35" s="2522" t="s">
        <v>93</v>
      </c>
      <c r="AE35" s="2523" t="s">
        <v>93</v>
      </c>
      <c r="AF35" s="2522" t="s">
        <v>93</v>
      </c>
      <c r="AG35" s="2522" t="s">
        <v>93</v>
      </c>
      <c r="AH35" s="2522" t="s">
        <v>93</v>
      </c>
      <c r="AI35" s="2523" t="s">
        <v>93</v>
      </c>
      <c r="AJ35" s="2527" t="s">
        <v>93</v>
      </c>
      <c r="AK35" s="2528" t="s">
        <v>93</v>
      </c>
      <c r="AL35" s="2522" t="s">
        <v>92</v>
      </c>
      <c r="AM35" s="2522" t="s">
        <v>91</v>
      </c>
      <c r="AN35" s="2522" t="s">
        <v>91</v>
      </c>
      <c r="AO35" s="2523" t="s">
        <v>92</v>
      </c>
      <c r="AP35" s="2522" t="s">
        <v>93</v>
      </c>
      <c r="AQ35" s="2522" t="s">
        <v>93</v>
      </c>
      <c r="AR35" s="2523" t="s">
        <v>93</v>
      </c>
      <c r="AS35" s="2522" t="s">
        <v>93</v>
      </c>
      <c r="AT35" s="2522" t="s">
        <v>93</v>
      </c>
      <c r="AU35" s="2522" t="s">
        <v>93</v>
      </c>
      <c r="AV35" s="2523" t="s">
        <v>93</v>
      </c>
      <c r="AW35" s="2522" t="s">
        <v>93</v>
      </c>
      <c r="AX35" s="2522" t="s">
        <v>93</v>
      </c>
      <c r="AY35" s="2522" t="s">
        <v>93</v>
      </c>
      <c r="AZ35" s="2522" t="s">
        <v>93</v>
      </c>
      <c r="BA35" s="2522" t="s">
        <v>93</v>
      </c>
    </row>
    <row r="36" ht="18.75" customHeight="1">
      <c r="A36" s="158"/>
      <c r="B36" s="813"/>
      <c r="C36" s="2567" t="s">
        <v>206</v>
      </c>
      <c r="D36" s="2522" t="s">
        <v>92</v>
      </c>
      <c r="E36" s="2523" t="s">
        <v>91</v>
      </c>
      <c r="F36" s="2522" t="s">
        <v>91</v>
      </c>
      <c r="G36" s="2522" t="s">
        <v>91</v>
      </c>
      <c r="H36" s="2522" t="s">
        <v>91</v>
      </c>
      <c r="I36" s="2523" t="s">
        <v>91</v>
      </c>
      <c r="J36" s="2522" t="s">
        <v>91</v>
      </c>
      <c r="K36" s="2522" t="s">
        <v>91</v>
      </c>
      <c r="L36" s="2522" t="s">
        <v>91</v>
      </c>
      <c r="M36" s="2522" t="s">
        <v>91</v>
      </c>
      <c r="N36" s="2523" t="s">
        <v>91</v>
      </c>
      <c r="O36" s="2522" t="s">
        <v>92</v>
      </c>
      <c r="P36" s="2522" t="s">
        <v>91</v>
      </c>
      <c r="Q36" s="2522" t="s">
        <v>92</v>
      </c>
      <c r="R36" s="2522" t="s">
        <v>91</v>
      </c>
      <c r="S36" s="2522" t="s">
        <v>91</v>
      </c>
      <c r="T36" s="2522" t="s">
        <v>91</v>
      </c>
      <c r="U36" s="2522" t="s">
        <v>91</v>
      </c>
      <c r="V36" s="2523" t="s">
        <v>91</v>
      </c>
      <c r="W36" s="2522" t="s">
        <v>91</v>
      </c>
      <c r="X36" s="2522" t="s">
        <v>91</v>
      </c>
      <c r="Y36" s="2522" t="s">
        <v>91</v>
      </c>
      <c r="Z36" s="2522" t="s">
        <v>92</v>
      </c>
      <c r="AA36" s="2523" t="s">
        <v>92</v>
      </c>
      <c r="AB36" s="2522" t="s">
        <v>91</v>
      </c>
      <c r="AC36" s="2522" t="s">
        <v>92</v>
      </c>
      <c r="AD36" s="2522" t="s">
        <v>92</v>
      </c>
      <c r="AE36" s="2523" t="s">
        <v>91</v>
      </c>
      <c r="AF36" s="2522" t="s">
        <v>92</v>
      </c>
      <c r="AG36" s="2522" t="s">
        <v>91</v>
      </c>
      <c r="AH36" s="2522" t="s">
        <v>91</v>
      </c>
      <c r="AI36" s="2523" t="s">
        <v>91</v>
      </c>
      <c r="AJ36" s="2536" t="s">
        <v>91</v>
      </c>
      <c r="AK36" s="2537" t="s">
        <v>91</v>
      </c>
      <c r="AL36" s="2522" t="s">
        <v>92</v>
      </c>
      <c r="AM36" s="2522" t="s">
        <v>91</v>
      </c>
      <c r="AN36" s="2522" t="s">
        <v>91</v>
      </c>
      <c r="AO36" s="2523" t="s">
        <v>92</v>
      </c>
      <c r="AP36" s="2522" t="s">
        <v>92</v>
      </c>
      <c r="AQ36" s="2522" t="s">
        <v>92</v>
      </c>
      <c r="AR36" s="2523" t="s">
        <v>91</v>
      </c>
      <c r="AS36" s="2522" t="s">
        <v>91</v>
      </c>
      <c r="AT36" s="2522" t="s">
        <v>91</v>
      </c>
      <c r="AU36" s="2522" t="s">
        <v>91</v>
      </c>
      <c r="AV36" s="2523" t="s">
        <v>91</v>
      </c>
      <c r="AW36" s="2522" t="s">
        <v>91</v>
      </c>
      <c r="AX36" s="2522" t="s">
        <v>117</v>
      </c>
      <c r="AY36" s="2522" t="s">
        <v>91</v>
      </c>
      <c r="AZ36" s="2522" t="s">
        <v>91</v>
      </c>
      <c r="BA36" s="2522" t="s">
        <v>91</v>
      </c>
    </row>
    <row r="37" ht="18.75" customHeight="1">
      <c r="A37" s="158"/>
      <c r="B37" s="813"/>
      <c r="C37" s="2565" t="s">
        <v>930</v>
      </c>
      <c r="D37" s="2522" t="s">
        <v>118</v>
      </c>
      <c r="E37" s="2523" t="s">
        <v>118</v>
      </c>
      <c r="F37" s="2522" t="s">
        <v>118</v>
      </c>
      <c r="G37" s="2522" t="s">
        <v>118</v>
      </c>
      <c r="H37" s="2522" t="s">
        <v>118</v>
      </c>
      <c r="I37" s="2523" t="s">
        <v>118</v>
      </c>
      <c r="J37" s="2522" t="s">
        <v>91</v>
      </c>
      <c r="K37" s="2522" t="s">
        <v>91</v>
      </c>
      <c r="L37" s="2522" t="s">
        <v>91</v>
      </c>
      <c r="M37" s="2522" t="s">
        <v>91</v>
      </c>
      <c r="N37" s="2523" t="s">
        <v>91</v>
      </c>
      <c r="O37" s="2522" t="s">
        <v>93</v>
      </c>
      <c r="P37" s="2522" t="s">
        <v>93</v>
      </c>
      <c r="Q37" s="2522" t="s">
        <v>93</v>
      </c>
      <c r="R37" s="2522" t="s">
        <v>93</v>
      </c>
      <c r="S37" s="2522" t="s">
        <v>93</v>
      </c>
      <c r="T37" s="2522" t="s">
        <v>93</v>
      </c>
      <c r="U37" s="2522" t="s">
        <v>93</v>
      </c>
      <c r="V37" s="2523" t="s">
        <v>93</v>
      </c>
      <c r="W37" s="2522" t="s">
        <v>93</v>
      </c>
      <c r="X37" s="2522" t="s">
        <v>93</v>
      </c>
      <c r="Y37" s="2522" t="s">
        <v>93</v>
      </c>
      <c r="Z37" s="2522" t="s">
        <v>93</v>
      </c>
      <c r="AA37" s="2523" t="s">
        <v>93</v>
      </c>
      <c r="AB37" s="2522" t="s">
        <v>93</v>
      </c>
      <c r="AC37" s="2522" t="s">
        <v>93</v>
      </c>
      <c r="AD37" s="2522" t="s">
        <v>93</v>
      </c>
      <c r="AE37" s="2523" t="s">
        <v>93</v>
      </c>
      <c r="AF37" s="2522" t="s">
        <v>93</v>
      </c>
      <c r="AG37" s="2522" t="s">
        <v>93</v>
      </c>
      <c r="AH37" s="2522" t="s">
        <v>93</v>
      </c>
      <c r="AI37" s="2523" t="s">
        <v>93</v>
      </c>
      <c r="AJ37" s="2527" t="s">
        <v>93</v>
      </c>
      <c r="AK37" s="2528" t="s">
        <v>93</v>
      </c>
      <c r="AL37" s="2522" t="s">
        <v>92</v>
      </c>
      <c r="AM37" s="2522" t="s">
        <v>91</v>
      </c>
      <c r="AN37" s="2522" t="s">
        <v>91</v>
      </c>
      <c r="AO37" s="2523" t="s">
        <v>92</v>
      </c>
      <c r="AP37" s="2522" t="s">
        <v>93</v>
      </c>
      <c r="AQ37" s="2522" t="s">
        <v>93</v>
      </c>
      <c r="AR37" s="2523" t="s">
        <v>93</v>
      </c>
      <c r="AS37" s="2522" t="s">
        <v>118</v>
      </c>
      <c r="AT37" s="2522" t="s">
        <v>118</v>
      </c>
      <c r="AU37" s="2522" t="s">
        <v>118</v>
      </c>
      <c r="AV37" s="2523" t="s">
        <v>118</v>
      </c>
      <c r="AW37" s="2522" t="s">
        <v>118</v>
      </c>
      <c r="AX37" s="2522" t="s">
        <v>118</v>
      </c>
      <c r="AY37" s="2522" t="s">
        <v>118</v>
      </c>
      <c r="AZ37" s="2522" t="s">
        <v>118</v>
      </c>
      <c r="BA37" s="2523" t="s">
        <v>118</v>
      </c>
    </row>
    <row r="38" ht="18.75" customHeight="1">
      <c r="A38" s="158"/>
      <c r="B38" s="968"/>
      <c r="C38" s="2566" t="s">
        <v>244</v>
      </c>
      <c r="D38" s="2522" t="s">
        <v>118</v>
      </c>
      <c r="E38" s="2523" t="s">
        <v>118</v>
      </c>
      <c r="F38" s="2522" t="s">
        <v>118</v>
      </c>
      <c r="G38" s="2522" t="s">
        <v>118</v>
      </c>
      <c r="H38" s="2522" t="s">
        <v>118</v>
      </c>
      <c r="I38" s="2523" t="s">
        <v>118</v>
      </c>
      <c r="J38" s="2522" t="s">
        <v>118</v>
      </c>
      <c r="K38" s="2522" t="s">
        <v>118</v>
      </c>
      <c r="L38" s="2522" t="s">
        <v>118</v>
      </c>
      <c r="M38" s="2522" t="s">
        <v>118</v>
      </c>
      <c r="N38" s="2523" t="s">
        <v>118</v>
      </c>
      <c r="O38" s="2522" t="s">
        <v>118</v>
      </c>
      <c r="P38" s="2522" t="s">
        <v>118</v>
      </c>
      <c r="Q38" s="2522" t="s">
        <v>118</v>
      </c>
      <c r="R38" s="2522" t="s">
        <v>118</v>
      </c>
      <c r="S38" s="2522" t="s">
        <v>118</v>
      </c>
      <c r="T38" s="2522" t="s">
        <v>118</v>
      </c>
      <c r="U38" s="2522" t="s">
        <v>118</v>
      </c>
      <c r="V38" s="2523" t="s">
        <v>118</v>
      </c>
      <c r="W38" s="2522" t="s">
        <v>118</v>
      </c>
      <c r="X38" s="2522" t="s">
        <v>118</v>
      </c>
      <c r="Y38" s="2522" t="s">
        <v>118</v>
      </c>
      <c r="Z38" s="2522" t="s">
        <v>118</v>
      </c>
      <c r="AA38" s="2523" t="s">
        <v>118</v>
      </c>
      <c r="AB38" s="2522" t="s">
        <v>118</v>
      </c>
      <c r="AC38" s="2522" t="s">
        <v>118</v>
      </c>
      <c r="AD38" s="2522" t="s">
        <v>118</v>
      </c>
      <c r="AE38" s="2523" t="s">
        <v>118</v>
      </c>
      <c r="AF38" s="2522" t="s">
        <v>118</v>
      </c>
      <c r="AG38" s="2522" t="s">
        <v>118</v>
      </c>
      <c r="AH38" s="2522" t="s">
        <v>118</v>
      </c>
      <c r="AI38" s="2523" t="s">
        <v>118</v>
      </c>
      <c r="AJ38" s="2530" t="s">
        <v>118</v>
      </c>
      <c r="AK38" s="2531" t="s">
        <v>118</v>
      </c>
      <c r="AL38" s="2522" t="s">
        <v>118</v>
      </c>
      <c r="AM38" s="2522" t="s">
        <v>118</v>
      </c>
      <c r="AN38" s="2522" t="s">
        <v>118</v>
      </c>
      <c r="AO38" s="2523" t="s">
        <v>118</v>
      </c>
      <c r="AP38" s="2522" t="s">
        <v>118</v>
      </c>
      <c r="AQ38" s="2522" t="s">
        <v>118</v>
      </c>
      <c r="AR38" s="2523" t="s">
        <v>118</v>
      </c>
      <c r="AS38" s="2522" t="s">
        <v>91</v>
      </c>
      <c r="AT38" s="2522" t="s">
        <v>91</v>
      </c>
      <c r="AU38" s="2522" t="s">
        <v>91</v>
      </c>
      <c r="AV38" s="2523" t="s">
        <v>91</v>
      </c>
      <c r="AW38" s="2522" t="s">
        <v>91</v>
      </c>
      <c r="AX38" s="2522" t="s">
        <v>117</v>
      </c>
      <c r="AY38" s="2522" t="s">
        <v>91</v>
      </c>
      <c r="AZ38" s="2522" t="s">
        <v>91</v>
      </c>
      <c r="BA38" s="2522" t="s">
        <v>91</v>
      </c>
    </row>
    <row r="39" ht="18.75" customHeight="1">
      <c r="A39" s="158"/>
      <c r="B39" s="2568" t="s">
        <v>1303</v>
      </c>
      <c r="C39" s="2569" t="s">
        <v>1305</v>
      </c>
      <c r="D39" s="2522" t="s">
        <v>92</v>
      </c>
      <c r="E39" s="2523" t="s">
        <v>92</v>
      </c>
      <c r="F39" s="2522" t="s">
        <v>92</v>
      </c>
      <c r="G39" s="2522" t="s">
        <v>91</v>
      </c>
      <c r="H39" s="2522" t="s">
        <v>92</v>
      </c>
      <c r="I39" s="2523" t="s">
        <v>92</v>
      </c>
      <c r="J39" s="2522" t="s">
        <v>91</v>
      </c>
      <c r="K39" s="2522" t="s">
        <v>92</v>
      </c>
      <c r="L39" s="2522" t="s">
        <v>92</v>
      </c>
      <c r="M39" s="2522" t="s">
        <v>92</v>
      </c>
      <c r="N39" s="2523" t="s">
        <v>92</v>
      </c>
      <c r="O39" s="2522" t="s">
        <v>91</v>
      </c>
      <c r="P39" s="2522" t="s">
        <v>92</v>
      </c>
      <c r="Q39" s="2522" t="s">
        <v>91</v>
      </c>
      <c r="R39" s="2522" t="s">
        <v>92</v>
      </c>
      <c r="S39" s="2522" t="s">
        <v>91</v>
      </c>
      <c r="T39" s="2522" t="s">
        <v>91</v>
      </c>
      <c r="U39" s="2522" t="s">
        <v>92</v>
      </c>
      <c r="V39" s="2523" t="s">
        <v>92</v>
      </c>
      <c r="W39" s="2522" t="s">
        <v>92</v>
      </c>
      <c r="X39" s="2522" t="s">
        <v>92</v>
      </c>
      <c r="Y39" s="2522" t="s">
        <v>92</v>
      </c>
      <c r="Z39" s="2522" t="s">
        <v>92</v>
      </c>
      <c r="AA39" s="2523" t="s">
        <v>92</v>
      </c>
      <c r="AB39" s="2522" t="s">
        <v>93</v>
      </c>
      <c r="AC39" s="2522" t="s">
        <v>93</v>
      </c>
      <c r="AD39" s="2522" t="s">
        <v>93</v>
      </c>
      <c r="AE39" s="2523" t="s">
        <v>93</v>
      </c>
      <c r="AF39" s="2522" t="s">
        <v>91</v>
      </c>
      <c r="AG39" s="2522" t="s">
        <v>92</v>
      </c>
      <c r="AH39" s="2522" t="s">
        <v>92</v>
      </c>
      <c r="AI39" s="2523" t="s">
        <v>92</v>
      </c>
      <c r="AJ39" s="2527" t="s">
        <v>93</v>
      </c>
      <c r="AK39" s="2528" t="s">
        <v>93</v>
      </c>
      <c r="AL39" s="2522" t="s">
        <v>93</v>
      </c>
      <c r="AM39" s="2522" t="s">
        <v>93</v>
      </c>
      <c r="AN39" s="2522" t="s">
        <v>93</v>
      </c>
      <c r="AO39" s="2523" t="s">
        <v>93</v>
      </c>
      <c r="AP39" s="2522" t="s">
        <v>93</v>
      </c>
      <c r="AQ39" s="2522" t="s">
        <v>93</v>
      </c>
      <c r="AR39" s="2523" t="s">
        <v>93</v>
      </c>
      <c r="AS39" s="2522" t="s">
        <v>93</v>
      </c>
      <c r="AT39" s="2522" t="s">
        <v>93</v>
      </c>
      <c r="AU39" s="2522" t="s">
        <v>93</v>
      </c>
      <c r="AV39" s="2523" t="s">
        <v>93</v>
      </c>
      <c r="AW39" s="2522" t="s">
        <v>91</v>
      </c>
      <c r="AX39" s="2522" t="s">
        <v>91</v>
      </c>
      <c r="AY39" s="2522" t="s">
        <v>92</v>
      </c>
      <c r="AZ39" s="2522" t="s">
        <v>92</v>
      </c>
      <c r="BA39" s="2522" t="s">
        <v>92</v>
      </c>
    </row>
    <row r="40" ht="18.75" customHeight="1">
      <c r="A40" s="158"/>
      <c r="B40" s="2570" t="s">
        <v>274</v>
      </c>
      <c r="C40" s="2571" t="s">
        <v>101</v>
      </c>
      <c r="D40" s="2522" t="s">
        <v>92</v>
      </c>
      <c r="E40" s="2523" t="s">
        <v>91</v>
      </c>
      <c r="F40" s="2522" t="s">
        <v>91</v>
      </c>
      <c r="G40" s="2522" t="s">
        <v>91</v>
      </c>
      <c r="H40" s="2522" t="s">
        <v>91</v>
      </c>
      <c r="I40" s="2523" t="s">
        <v>92</v>
      </c>
      <c r="J40" s="2522" t="s">
        <v>91</v>
      </c>
      <c r="K40" s="2522" t="s">
        <v>91</v>
      </c>
      <c r="L40" s="2522" t="s">
        <v>91</v>
      </c>
      <c r="M40" s="2522" t="s">
        <v>117</v>
      </c>
      <c r="N40" s="2523" t="s">
        <v>92</v>
      </c>
      <c r="O40" s="2522" t="s">
        <v>91</v>
      </c>
      <c r="P40" s="2522" t="s">
        <v>91</v>
      </c>
      <c r="Q40" s="2522" t="s">
        <v>92</v>
      </c>
      <c r="R40" s="2522" t="s">
        <v>92</v>
      </c>
      <c r="S40" s="2522" t="s">
        <v>91</v>
      </c>
      <c r="T40" s="2522" t="s">
        <v>91</v>
      </c>
      <c r="U40" s="2522" t="s">
        <v>91</v>
      </c>
      <c r="V40" s="2523" t="s">
        <v>92</v>
      </c>
      <c r="W40" s="2522" t="s">
        <v>91</v>
      </c>
      <c r="X40" s="2522" t="s">
        <v>91</v>
      </c>
      <c r="Y40" s="2522" t="s">
        <v>91</v>
      </c>
      <c r="Z40" s="2522" t="s">
        <v>92</v>
      </c>
      <c r="AA40" s="2523" t="s">
        <v>117</v>
      </c>
      <c r="AB40" s="2522" t="s">
        <v>92</v>
      </c>
      <c r="AC40" s="2522" t="s">
        <v>91</v>
      </c>
      <c r="AD40" s="2522" t="s">
        <v>92</v>
      </c>
      <c r="AE40" s="2523" t="s">
        <v>91</v>
      </c>
      <c r="AF40" s="2522" t="s">
        <v>91</v>
      </c>
      <c r="AG40" s="2522" t="s">
        <v>91</v>
      </c>
      <c r="AH40" s="2522" t="s">
        <v>91</v>
      </c>
      <c r="AI40" s="2523" t="s">
        <v>91</v>
      </c>
      <c r="AJ40" s="2572" t="s">
        <v>91</v>
      </c>
      <c r="AK40" s="2573" t="s">
        <v>91</v>
      </c>
      <c r="AL40" s="2522" t="s">
        <v>92</v>
      </c>
      <c r="AM40" s="2522" t="s">
        <v>92</v>
      </c>
      <c r="AN40" s="2522" t="s">
        <v>91</v>
      </c>
      <c r="AO40" s="2523" t="s">
        <v>91</v>
      </c>
      <c r="AP40" s="2522" t="s">
        <v>92</v>
      </c>
      <c r="AQ40" s="2522" t="s">
        <v>91</v>
      </c>
      <c r="AR40" s="2523" t="s">
        <v>92</v>
      </c>
      <c r="AS40" s="2522" t="s">
        <v>92</v>
      </c>
      <c r="AT40" s="2522" t="s">
        <v>91</v>
      </c>
      <c r="AU40" s="2522" t="s">
        <v>91</v>
      </c>
      <c r="AV40" s="2523" t="s">
        <v>92</v>
      </c>
      <c r="AW40" s="2522" t="s">
        <v>91</v>
      </c>
      <c r="AX40" s="2522" t="s">
        <v>92</v>
      </c>
      <c r="AY40" s="2522" t="s">
        <v>92</v>
      </c>
      <c r="AZ40" s="2522" t="s">
        <v>92</v>
      </c>
      <c r="BA40" s="2522" t="s">
        <v>92</v>
      </c>
    </row>
    <row r="41" ht="18.75" customHeight="1">
      <c r="A41" s="191"/>
      <c r="B41" s="2574" t="s">
        <v>61</v>
      </c>
      <c r="C41" s="2575" t="s">
        <v>294</v>
      </c>
      <c r="D41" s="2522" t="s">
        <v>118</v>
      </c>
      <c r="E41" s="2523" t="s">
        <v>118</v>
      </c>
      <c r="F41" s="2522" t="s">
        <v>118</v>
      </c>
      <c r="G41" s="2522" t="s">
        <v>118</v>
      </c>
      <c r="H41" s="2522" t="s">
        <v>118</v>
      </c>
      <c r="I41" s="2523" t="s">
        <v>118</v>
      </c>
      <c r="J41" s="2522" t="s">
        <v>118</v>
      </c>
      <c r="K41" s="2522" t="s">
        <v>118</v>
      </c>
      <c r="L41" s="2522" t="s">
        <v>118</v>
      </c>
      <c r="M41" s="2522" t="s">
        <v>118</v>
      </c>
      <c r="N41" s="2523" t="s">
        <v>118</v>
      </c>
      <c r="O41" s="2522" t="s">
        <v>118</v>
      </c>
      <c r="P41" s="2522" t="s">
        <v>118</v>
      </c>
      <c r="Q41" s="2522" t="s">
        <v>118</v>
      </c>
      <c r="R41" s="2522" t="s">
        <v>118</v>
      </c>
      <c r="S41" s="2522" t="s">
        <v>118</v>
      </c>
      <c r="T41" s="2522" t="s">
        <v>118</v>
      </c>
      <c r="U41" s="2522" t="s">
        <v>118</v>
      </c>
      <c r="V41" s="2523" t="s">
        <v>118</v>
      </c>
      <c r="W41" s="2522" t="s">
        <v>118</v>
      </c>
      <c r="X41" s="2522" t="s">
        <v>118</v>
      </c>
      <c r="Y41" s="2522" t="s">
        <v>118</v>
      </c>
      <c r="Z41" s="2522" t="s">
        <v>118</v>
      </c>
      <c r="AA41" s="2523" t="s">
        <v>118</v>
      </c>
      <c r="AB41" s="2522" t="s">
        <v>118</v>
      </c>
      <c r="AC41" s="2522" t="s">
        <v>118</v>
      </c>
      <c r="AD41" s="2522" t="s">
        <v>118</v>
      </c>
      <c r="AE41" s="2523" t="s">
        <v>118</v>
      </c>
      <c r="AF41" s="2522" t="s">
        <v>118</v>
      </c>
      <c r="AG41" s="2522" t="s">
        <v>118</v>
      </c>
      <c r="AH41" s="2522" t="s">
        <v>118</v>
      </c>
      <c r="AI41" s="2523" t="s">
        <v>118</v>
      </c>
      <c r="AJ41" s="2530" t="s">
        <v>118</v>
      </c>
      <c r="AK41" s="2531" t="s">
        <v>118</v>
      </c>
      <c r="AL41" s="2522" t="s">
        <v>118</v>
      </c>
      <c r="AM41" s="2522" t="s">
        <v>118</v>
      </c>
      <c r="AN41" s="2522" t="s">
        <v>118</v>
      </c>
      <c r="AO41" s="2523" t="s">
        <v>118</v>
      </c>
      <c r="AP41" s="2522" t="s">
        <v>118</v>
      </c>
      <c r="AQ41" s="2522" t="s">
        <v>118</v>
      </c>
      <c r="AR41" s="2523" t="s">
        <v>118</v>
      </c>
      <c r="AS41" s="2522" t="s">
        <v>118</v>
      </c>
      <c r="AT41" s="2522" t="s">
        <v>118</v>
      </c>
      <c r="AU41" s="2522" t="s">
        <v>118</v>
      </c>
      <c r="AV41" s="2523" t="s">
        <v>118</v>
      </c>
      <c r="AW41" s="2522" t="s">
        <v>91</v>
      </c>
      <c r="AX41" s="2522" t="s">
        <v>91</v>
      </c>
      <c r="AY41" s="2522" t="s">
        <v>91</v>
      </c>
      <c r="AZ41" s="2522" t="s">
        <v>91</v>
      </c>
      <c r="BA41" s="2522" t="s">
        <v>91</v>
      </c>
    </row>
    <row r="42" ht="11.25" customHeight="1">
      <c r="A42" s="2576"/>
      <c r="B42" s="2577"/>
      <c r="C42" s="2578"/>
      <c r="D42" s="2252" t="str">
        <f t="shared" ref="D42:BA42" si="2">CONCATENATE("{""status"": ", IF(GT(D43, D44), """aangenomen""", """verworpen"""), ", ""title"": """, D5, """, ""url"": """,D30  , """, ""voor"":", D43,", ""tegen"": ", D44, ", ""onthouden"":", D45, "}")</f>
        <v>{"status": "verworpen", "title": "M0076", "url": "https://www.reddit.com/r/RMTK/comments/c8d1ja/m0076_motie_tot_uitdelen_oordoppen_bij_festivals/", "voor":7, "tegen": 16, "onthouden":1}</v>
      </c>
      <c r="E42" s="2255" t="str">
        <f t="shared" si="2"/>
        <v>{"status": "aangenomen", "title": "W0028", "url": "https://www.reddit.com/r/RMTK/comments/c8rc1h/w0028_wetswijziging_tot_aanvulling_op_de_wet/", "voor":23, "tegen": 1, "onthouden":0}</v>
      </c>
      <c r="F42" s="2253" t="str">
        <f t="shared" si="2"/>
        <v>{"status": "verworpen", "title": "M0077", "url": "https://www.reddit.com/r/RMTK/comments/caneu6/m0077_motie_tot_opstellen_van_klimaatnota/", "voor":11, "tegen": 13, "onthouden":0}</v>
      </c>
      <c r="G42" s="2253" t="str">
        <f t="shared" si="2"/>
        <v>{"status": "aangenomen", "title": "M0078", "url": "https://www.reddit.com/r/RMTK/comments/cb3edh/motie_tot_het_aanpakken_van_problemen_rondom_112/", "voor":22, "tegen": 2, "onthouden":0}</v>
      </c>
      <c r="H42" s="2253" t="str">
        <f t="shared" si="2"/>
        <v>{"status": "verworpen", "title": "M0079", "url": "https://www.reddit.com/r/RMTK/comments/cbwf92/m0079_motie_tot_uitvoering_m0050/", "voor":7, "tegen": 17, "onthouden":0}</v>
      </c>
      <c r="I42" s="2255" t="str">
        <f t="shared" si="2"/>
        <v>{"status": "aangenomen", "title": "W0029", "url": "https://www.reddit.com/r/RMTK/comments/cbidty/w0029_wijziging_van_het_burgerlijk_wetboek_boek_1/", "voor":12, "tegen": 11, "onthouden":1}</v>
      </c>
      <c r="J42" s="2253" t="str">
        <f t="shared" si="2"/>
        <v>{"status": "aangenomen", "title": "M0080", "url": "https://www.reddit.com/r/RMTK/comments/cdkiso/m0080_motie_tot_onderzoek_naar_circulair_maken/", "voor":16, "tegen": 4, "onthouden":0}</v>
      </c>
      <c r="K42" s="2253" t="str">
        <f t="shared" si="2"/>
        <v>{"status": "aangenomen", "title": "M0081", "url": "https://www.reddit.com/r/RMTK/comments/cdxunf/m0081_motie_tot_versimpeling_belastingsysteem/", "voor":18, "tegen": 2, "onthouden":0}</v>
      </c>
      <c r="L42" s="2253" t="str">
        <f t="shared" si="2"/>
        <v>{"status": "aangenomen", "title": "W0025", "url": "https://www.reddit.com/r/RMTK/comments/cee57r/w0025_tweede_lezingkoepelwet_kerncentrales/", "voor":19, "tegen": 1, "onthouden":0}</v>
      </c>
      <c r="M42" s="2253" t="str">
        <f t="shared" si="2"/>
        <v>{"status": "aangenomen", "title": "W0030", "url": "https://www.reddit.com/r/RMTK/comments/cedsei/w0030_wijziging_van_het_burgerlijk_wetboek_boek_1/", "voor":15, "tegen": 3, "onthouden":2}</v>
      </c>
      <c r="N42" s="2579" t="str">
        <f t="shared" si="2"/>
        <v>{"status": "aangenomen", "title": "W0031", "url": "https://www.reddit.com/r/RMTK/comments/cev17r/w0031_hernieuwde_klimaatwet_2019/", "voor":17, "tegen": 3, "onthouden":0}</v>
      </c>
      <c r="O42" s="2580" t="str">
        <f t="shared" si="2"/>
        <v>{"status": "verworpen", "title": "M0082", "url": "https://www.reddit.com/r/RMTK/comments/cgeui7/m0082_motie_tot_openbaar_maken_partijlidmaatschap/", "voor":8, "tegen": 12, "onthouden":0}</v>
      </c>
      <c r="P42" s="2581" t="str">
        <f t="shared" si="2"/>
        <v>{"status": "aangenomen", "title": "M0083", "url": "https://www.reddit.com/r/RMTK/comments/cgx23i/m0083m0086_moties_ingediend_bij_debat_over_de/", "voor":18, "tegen": 1, "onthouden":1}</v>
      </c>
      <c r="Q42" s="2581" t="str">
        <f t="shared" si="2"/>
        <v>{"status": "aangenomen", "title": "M0084", "url": "https://www.reddit.com/r/RMTK/comments/cgx23i/m0083m0086_moties_ingediend_bij_debat_over_de/", "voor":13, "tegen": 7, "onthouden":0}</v>
      </c>
      <c r="R42" s="2581" t="str">
        <f t="shared" si="2"/>
        <v>{"status": "aangenomen", "title": "M0085", "url": "https://www.reddit.com/r/RMTK/comments/cgx23i/m0083m0086_moties_ingediend_bij_debat_over_de/", "voor":16, "tegen": 4, "onthouden":0}</v>
      </c>
      <c r="S42" s="2581" t="str">
        <f t="shared" si="2"/>
        <v>{"status": "aangenomen", "title": "M0086", "url": "https://www.reddit.com/r/RMTK/comments/cgx23i/m0083m0086_moties_ingediend_bij_debat_over_de/", "voor":15, "tegen": 4, "onthouden":1}</v>
      </c>
      <c r="T42" s="2581" t="str">
        <f t="shared" si="2"/>
        <v>{"status": "aangenomen", "title": "M0087", "url": "https://www.reddit.com/r/RMTK/comments/cgx44w/m0087_motie_verduidelijking_en_samenvoeging/", "voor":19, "tegen": 0, "onthouden":1}</v>
      </c>
      <c r="U42" s="2581" t="str">
        <f t="shared" si="2"/>
        <v>{"status": "aangenomen", "title": "M0088", "url": "https://www.reddit.com/r/RMTK/comments/chp5na/m0088_motie_tot_verandering_regelgeving_regeling/", "voor":12, "tegen": 7, "onthouden":1}</v>
      </c>
      <c r="V42" s="2582" t="str">
        <f t="shared" si="2"/>
        <v>{"status": "aangenomen", "title": "W0032", "url": "https://www.reddit.com/r/RMTK/comments/cgethq/wetsvoorstel_tot_budgettaire_begroting/", "voor":17, "tegen": 3, "onthouden":0}</v>
      </c>
      <c r="W42" s="2581" t="str">
        <f t="shared" si="2"/>
        <v>{"status": "verworpen", "title": "M0089", "url": "https://www.reddit.com/r/RMTK/comments/cj9vrz/m0089_motie_met_het_verzoek_om_informatie_over/", "voor":6, "tegen": 16, "onthouden":0}</v>
      </c>
      <c r="X42" s="2581" t="str">
        <f t="shared" si="2"/>
        <v>{"status": "aangenomen", "title": "M0090", "url": "https://www.reddit.com/r/RMTK/comments/ckamkr/m0090_motie_tot_organisatie_van_een_diplomatieke/", "voor":19, "tegen": 3, "onthouden":0}</v>
      </c>
      <c r="Y42" s="2581" t="str">
        <f t="shared" si="2"/>
        <v>{"status": "aangenomen", "title": "M0091", "url": "https://www.reddit.com/r/RMTK/comments/ckpx42/m0091_motie_tot_erkenning_van_een_derde_geslacht/", "voor":19, "tegen": 2, "onthouden":1}</v>
      </c>
      <c r="Z42" s="2580" t="str">
        <f t="shared" si="2"/>
        <v>{"status": "verworpen", "title": "W0033-I", "url": "https://www.reddit.com/r/RMTK/comments/cjbw7f/w0033i_amendement_op_wet_erkenning_recht_op/", "voor":7, "tegen": 11, "onthouden":4}</v>
      </c>
      <c r="AA42" s="2582" t="str">
        <f t="shared" si="2"/>
        <v>{"status": "verworpen", "title": "W0034", "url": "https://www.reddit.com/r/RMTK/comments/ciktf7/w0034_wet_lobbyverbod/", "voor":2, "tegen": 18, "onthouden":2}</v>
      </c>
      <c r="AB42" s="2581" t="str">
        <f t="shared" si="2"/>
        <v>{"status": "aangenomen", "title": "M0092", "url": "https://www.reddit.com/r/RMTK/comments/cn3gr4/m0092_motie_tot_het_cre%C3%ABren_van_beschutte/", "voor":13, "tegen": 5, "onthouden":0}</v>
      </c>
      <c r="AC42" s="2581" t="str">
        <f t="shared" si="2"/>
        <v>{"status": "verworpen", "title": "M0093", "url": "https://www.reddit.com/r/RMTK/comments/cn3hgk/m0093_motie_tot_verdere_privatisering_abn_amro/", "voor":7, "tegen": 11, "onthouden":0}</v>
      </c>
      <c r="AD42" s="2581" t="str">
        <f t="shared" si="2"/>
        <v>{"status": "aangenomen", "title": "W0033", "url": "https://www.reddit.com/r/RMTK/comments/ch9l69/w0033_wet_erkenning_recht_op_voltooid_leven/", "voor":12, "tegen": 4, "onthouden":2}</v>
      </c>
      <c r="AE42" s="2582" t="str">
        <f t="shared" si="2"/>
        <v>{"status": "aangenomen", "title": "W0035-I", "url": "https://www.reddit.com/r/RMTK/comments/clxgpr/w0035i_amendement_op_wet_belasting_op_grote/", "voor":16, "tegen": 2, "onthouden":0}</v>
      </c>
      <c r="AF42" s="2581" t="str">
        <f t="shared" si="2"/>
        <v>{"status": "verworpen", "title": "M0094", "url": "https://www.reddit.com/r/RMTK/comments/cpw0f0/m0094_motie_vrijgezellenbelasting/", "voor":4, "tegen": 15, "onthouden":0}</v>
      </c>
      <c r="AG42" s="2581" t="str">
        <f t="shared" si="2"/>
        <v>{"status": "aangenomen", "title": "M0095", "url": "https://www.reddit.com/r/RMTK/comments/cqh410/m0095m0096_moties_over_datalek_rdw/", "voor":16, "tegen": 3, "onthouden":0}</v>
      </c>
      <c r="AH42" s="2581" t="str">
        <f t="shared" si="2"/>
        <v>{"status": "aangenomen", "title": "M0096", "url": "https://www.reddit.com/r/RMTK/comments/cqh410/m0095m0096_moties_over_datalek_rdw/", "voor":18, "tegen": 1, "onthouden":0}</v>
      </c>
      <c r="AI42" s="2582" t="str">
        <f t="shared" si="2"/>
        <v>{"status": "aangenomen", "title": "M0097", "url": "https://www.reddit.com/r/RMTK/comments/cr3z5o/m0097_motie_tot_evaluatie_van/", "voor":16, "tegen": 3, "onthouden":0}</v>
      </c>
      <c r="AJ42" s="2583" t="str">
        <f t="shared" si="2"/>
        <v>{"status": "aangenomen", "title": "M0098", "url": "https://www.reddit.com/r/RMTK/comments/csznc1/m0098_motie_tot_onderzoek_doen_naar_een/", "voor":19, "tegen": 0, "onthouden":0}</v>
      </c>
      <c r="AK42" s="2584" t="str">
        <f t="shared" si="2"/>
        <v>{"status": "aangenomen", "title": "M0099", "url": "https://www.reddit.com/r/RMTK/comments/ctxz1e/m0099_motie_tot_reductie_verdrinkingsdoden/", "voor":19, "tegen": 0, "onthouden":0}</v>
      </c>
      <c r="AL42" s="2581" t="str">
        <f t="shared" si="2"/>
        <v>{"status": "verworpen", "title": "M0100", "url": "https://www.reddit.com/r/RMTK/comments/cvous8/m0100_motie_tot_cre%C3%ABren_vergunning_voor_bezit/", "voor":2, "tegen": 18, "onthouden":0}</v>
      </c>
      <c r="AM42" s="2581" t="str">
        <f t="shared" si="2"/>
        <v>{"status": "aangenomen", "title": "M0101", "url": "https://www.reddit.com/r/RMTK/comments/cw5pmx/m0101_motie_tot_boycot_van_fout_vlees_en_foute/", "voor":14, "tegen": 6, "onthouden":0}</v>
      </c>
      <c r="AN42" s="2581" t="str">
        <f t="shared" si="2"/>
        <v>{"status": "aangenomen", "title": "W0036", "url": "https://www.reddit.com/r/RMTK/comments/cwp79y/w0036_wet_ter_erkenning_van_de_nederlandse/", "voor":19, "tegen": 1, "onthouden":0}</v>
      </c>
      <c r="AO42" s="2582" t="str">
        <f t="shared" si="2"/>
        <v>{"status": "verworpen", "title": "W0037", "url": "https://www.reddit.com/r/RMTK/comments/cx11b8/w0037_wetswijziging_wet_op_de_omzetbelasting_1968/", "voor":5, "tegen": 15, "onthouden":0}</v>
      </c>
      <c r="AP42" s="2581" t="str">
        <f t="shared" si="2"/>
        <v>{"status": "verworpen", "title": "M0102", "url": "https://www.reddit.com/r/RMTK/comments/cz88o9/m0102_motie_tot_gratis_maken_ov/", "voor":2, "tegen": 13, "onthouden":3}</v>
      </c>
      <c r="AQ42" s="2581" t="str">
        <f t="shared" si="2"/>
        <v>{"status": "verworpen", "title": "M0103", "url": "https://www.reddit.com/r/RMTK/comments/czpknp/m0103_motie_tot_herbenoeming_burgemeester_van/", "voor":2, "tegen": 16, "onthouden":0}</v>
      </c>
      <c r="AR42" s="2582" t="str">
        <f t="shared" si="2"/>
        <v>{"status": "aangenomen", "title": "W0038", "url": "https://www.reddit.com/r/RMTK/comments/cyt6r7/w0038_wetsvoorstel_tot_wijziging_van_de_wet_op_de/", "voor":16, "tegen": 2, "onthouden":0}</v>
      </c>
      <c r="AS42" s="2581" t="str">
        <f t="shared" si="2"/>
        <v>{"status": "aangenomen", "title": "M0104", "url": "https://www.reddit.com/r/RMTK/comments/d0it9u/m0104_motie_ter_bevordering_van_het_frysk_en/", "voor":13, "tegen": 4, "onthouden":0}</v>
      </c>
      <c r="AT42" s="2581" t="str">
        <f t="shared" si="2"/>
        <v>{"status": "aangenomen", "title": "M0105", "url": "https://www.reddit.com/r/RMTK/comments/d2x07x/m0105_motie_tot_europese_samenwerking_op_het/", "voor":17, "tegen": 0, "onthouden":0}</v>
      </c>
      <c r="AU42" s="2581" t="str">
        <f t="shared" si="2"/>
        <v>{"status": "aangenomen", "title": "M0106", "url": "https://www.reddit.com/r/RMTK/comments/d2x1rb/m0106_motie_tot_verbeteren_voedselveiligheid/", "voor":12, "tegen": 4, "onthouden":1}</v>
      </c>
      <c r="AV42" s="2582" t="str">
        <f t="shared" si="2"/>
        <v>{"status": "aangenomen", "title": "M0107", "url": "https://www.reddit.com/r/RMTK/comments/d37gxt/m0107_motie_tot_gelijk_visumbeleid_door_de/", "voor":16, "tegen": 1, "onthouden":0}</v>
      </c>
      <c r="AW42" s="2581" t="str">
        <f t="shared" si="2"/>
        <v>{"status": "verworpen", "title": "M0108", "url": "https://www.reddit.com/r/RMTK/comments/d55568/m0108_voorwaardelijke_motie_van_wantrouwen_jegens/", "voor":4, "tegen": 14, "onthouden":3}</v>
      </c>
      <c r="AX42" s="2581" t="str">
        <f t="shared" si="2"/>
        <v>{"status": "aangenomen", "title": "M0109", "url": "https://www.reddit.com/r/RMTK/comments/d5jbj5/m0109_motie_tot_gelijkstelling_vrijstelling_op/", "voor":10, "tegen": 8, "onthouden":3}</v>
      </c>
      <c r="AY42" s="2581" t="str">
        <f t="shared" si="2"/>
        <v>{"status": "aangenomen", "title": "M0110", "url": "https://www.reddit.com/r/RMTK/comments/d6jhpf/m0110_motie_tot_aanpassing_van_het_vuurwerkbesluit/", "voor":14, "tegen": 6, "onthouden":1}</v>
      </c>
      <c r="AZ42" s="2581" t="str">
        <f t="shared" si="2"/>
        <v>{"status": "aangenomen", "title": "W0039-I", "url": "https://www.reddit.com/r/RMTK/comments/d57042/w0039i_amendement_wetsvoorstel_versoepeling/", "voor":15, "tegen": 5, "onthouden":1}</v>
      </c>
      <c r="BA42" s="2581" t="str">
        <f t="shared" si="2"/>
        <v>{"status": "aangenomen", "title": "W0040", "url": "https://www.reddit.com/r/RMTK/comments/d6jji7/w0040_wet_register_openbare_hygi%C3%ABne_en/", "voor":15, "tegen": 5, "onthouden":1}</v>
      </c>
    </row>
    <row r="43" ht="18.0" customHeight="1">
      <c r="A43" s="2585" t="s">
        <v>119</v>
      </c>
      <c r="B43" s="2586" t="s">
        <v>91</v>
      </c>
      <c r="C43" s="44"/>
      <c r="D43" s="2587">
        <f t="shared" ref="D43:BA43" si="3">COUNTIF(D5:D40,"Voor")</f>
        <v>7</v>
      </c>
      <c r="E43" s="2587">
        <f t="shared" si="3"/>
        <v>23</v>
      </c>
      <c r="F43" s="2587">
        <f t="shared" si="3"/>
        <v>11</v>
      </c>
      <c r="G43" s="2587">
        <f t="shared" si="3"/>
        <v>22</v>
      </c>
      <c r="H43" s="2587">
        <f t="shared" si="3"/>
        <v>7</v>
      </c>
      <c r="I43" s="2587">
        <f t="shared" si="3"/>
        <v>12</v>
      </c>
      <c r="J43" s="2587">
        <f t="shared" si="3"/>
        <v>16</v>
      </c>
      <c r="K43" s="2587">
        <f t="shared" si="3"/>
        <v>18</v>
      </c>
      <c r="L43" s="2587">
        <f t="shared" si="3"/>
        <v>19</v>
      </c>
      <c r="M43" s="2587">
        <f t="shared" si="3"/>
        <v>15</v>
      </c>
      <c r="N43" s="2588">
        <f t="shared" si="3"/>
        <v>17</v>
      </c>
      <c r="O43" s="2589">
        <f t="shared" si="3"/>
        <v>8</v>
      </c>
      <c r="P43" s="2589">
        <f t="shared" si="3"/>
        <v>18</v>
      </c>
      <c r="Q43" s="2589">
        <f t="shared" si="3"/>
        <v>13</v>
      </c>
      <c r="R43" s="2589">
        <f t="shared" si="3"/>
        <v>16</v>
      </c>
      <c r="S43" s="2589">
        <f t="shared" si="3"/>
        <v>15</v>
      </c>
      <c r="T43" s="2589">
        <f t="shared" si="3"/>
        <v>19</v>
      </c>
      <c r="U43" s="2589">
        <f t="shared" si="3"/>
        <v>12</v>
      </c>
      <c r="V43" s="2589">
        <f t="shared" si="3"/>
        <v>17</v>
      </c>
      <c r="W43" s="2589">
        <f t="shared" si="3"/>
        <v>6</v>
      </c>
      <c r="X43" s="2589">
        <f t="shared" si="3"/>
        <v>19</v>
      </c>
      <c r="Y43" s="2589">
        <f t="shared" si="3"/>
        <v>19</v>
      </c>
      <c r="Z43" s="2589">
        <f t="shared" si="3"/>
        <v>7</v>
      </c>
      <c r="AA43" s="2589">
        <f t="shared" si="3"/>
        <v>2</v>
      </c>
      <c r="AB43" s="2589">
        <f t="shared" si="3"/>
        <v>13</v>
      </c>
      <c r="AC43" s="2589">
        <f t="shared" si="3"/>
        <v>7</v>
      </c>
      <c r="AD43" s="2589">
        <f t="shared" si="3"/>
        <v>12</v>
      </c>
      <c r="AE43" s="2589">
        <f t="shared" si="3"/>
        <v>16</v>
      </c>
      <c r="AF43" s="2589">
        <f t="shared" si="3"/>
        <v>4</v>
      </c>
      <c r="AG43" s="2589">
        <f t="shared" si="3"/>
        <v>16</v>
      </c>
      <c r="AH43" s="2589">
        <f t="shared" si="3"/>
        <v>18</v>
      </c>
      <c r="AI43" s="2589">
        <f t="shared" si="3"/>
        <v>16</v>
      </c>
      <c r="AJ43" s="2590">
        <f t="shared" si="3"/>
        <v>19</v>
      </c>
      <c r="AK43" s="2590">
        <f t="shared" si="3"/>
        <v>19</v>
      </c>
      <c r="AL43" s="2589">
        <f t="shared" si="3"/>
        <v>2</v>
      </c>
      <c r="AM43" s="2589">
        <f t="shared" si="3"/>
        <v>14</v>
      </c>
      <c r="AN43" s="2589">
        <f t="shared" si="3"/>
        <v>19</v>
      </c>
      <c r="AO43" s="2589">
        <f t="shared" si="3"/>
        <v>5</v>
      </c>
      <c r="AP43" s="2589">
        <f t="shared" si="3"/>
        <v>2</v>
      </c>
      <c r="AQ43" s="2589">
        <f t="shared" si="3"/>
        <v>2</v>
      </c>
      <c r="AR43" s="2589">
        <f t="shared" si="3"/>
        <v>16</v>
      </c>
      <c r="AS43" s="2589">
        <f t="shared" si="3"/>
        <v>13</v>
      </c>
      <c r="AT43" s="2589">
        <f t="shared" si="3"/>
        <v>17</v>
      </c>
      <c r="AU43" s="2589">
        <f t="shared" si="3"/>
        <v>12</v>
      </c>
      <c r="AV43" s="2589">
        <f t="shared" si="3"/>
        <v>16</v>
      </c>
      <c r="AW43" s="2589">
        <f t="shared" si="3"/>
        <v>4</v>
      </c>
      <c r="AX43" s="2589">
        <f t="shared" si="3"/>
        <v>10</v>
      </c>
      <c r="AY43" s="2589">
        <f t="shared" si="3"/>
        <v>14</v>
      </c>
      <c r="AZ43" s="2589">
        <f t="shared" si="3"/>
        <v>15</v>
      </c>
      <c r="BA43" s="2589">
        <f t="shared" si="3"/>
        <v>15</v>
      </c>
    </row>
    <row r="44" ht="18.75" customHeight="1">
      <c r="A44" s="44"/>
      <c r="B44" s="2591" t="s">
        <v>92</v>
      </c>
      <c r="C44" s="44"/>
      <c r="D44" s="2592">
        <f t="shared" ref="D44:BA44" si="4">COUNTIF(D5:D40,"Tegen")</f>
        <v>16</v>
      </c>
      <c r="E44" s="2592">
        <f t="shared" si="4"/>
        <v>1</v>
      </c>
      <c r="F44" s="2592">
        <f t="shared" si="4"/>
        <v>13</v>
      </c>
      <c r="G44" s="2592">
        <f t="shared" si="4"/>
        <v>2</v>
      </c>
      <c r="H44" s="2592">
        <f t="shared" si="4"/>
        <v>17</v>
      </c>
      <c r="I44" s="2592">
        <f t="shared" si="4"/>
        <v>11</v>
      </c>
      <c r="J44" s="2592">
        <f t="shared" si="4"/>
        <v>4</v>
      </c>
      <c r="K44" s="2592">
        <f t="shared" si="4"/>
        <v>2</v>
      </c>
      <c r="L44" s="2592">
        <f t="shared" si="4"/>
        <v>1</v>
      </c>
      <c r="M44" s="2592">
        <f t="shared" si="4"/>
        <v>3</v>
      </c>
      <c r="N44" s="2593">
        <f t="shared" si="4"/>
        <v>3</v>
      </c>
      <c r="O44" s="2594">
        <f t="shared" si="4"/>
        <v>12</v>
      </c>
      <c r="P44" s="2594">
        <f t="shared" si="4"/>
        <v>1</v>
      </c>
      <c r="Q44" s="2594">
        <f t="shared" si="4"/>
        <v>7</v>
      </c>
      <c r="R44" s="2594">
        <f t="shared" si="4"/>
        <v>4</v>
      </c>
      <c r="S44" s="2594">
        <f t="shared" si="4"/>
        <v>4</v>
      </c>
      <c r="T44" s="2594">
        <f t="shared" si="4"/>
        <v>0</v>
      </c>
      <c r="U44" s="2594">
        <f t="shared" si="4"/>
        <v>7</v>
      </c>
      <c r="V44" s="2594">
        <f t="shared" si="4"/>
        <v>3</v>
      </c>
      <c r="W44" s="2594">
        <f t="shared" si="4"/>
        <v>16</v>
      </c>
      <c r="X44" s="2594">
        <f t="shared" si="4"/>
        <v>3</v>
      </c>
      <c r="Y44" s="2594">
        <f t="shared" si="4"/>
        <v>2</v>
      </c>
      <c r="Z44" s="2594">
        <f t="shared" si="4"/>
        <v>11</v>
      </c>
      <c r="AA44" s="2594">
        <f t="shared" si="4"/>
        <v>18</v>
      </c>
      <c r="AB44" s="2594">
        <f t="shared" si="4"/>
        <v>5</v>
      </c>
      <c r="AC44" s="2594">
        <f t="shared" si="4"/>
        <v>11</v>
      </c>
      <c r="AD44" s="2594">
        <f t="shared" si="4"/>
        <v>4</v>
      </c>
      <c r="AE44" s="2594">
        <f t="shared" si="4"/>
        <v>2</v>
      </c>
      <c r="AF44" s="2594">
        <f t="shared" si="4"/>
        <v>15</v>
      </c>
      <c r="AG44" s="2594">
        <f t="shared" si="4"/>
        <v>3</v>
      </c>
      <c r="AH44" s="2594">
        <f t="shared" si="4"/>
        <v>1</v>
      </c>
      <c r="AI44" s="2594">
        <f t="shared" si="4"/>
        <v>3</v>
      </c>
      <c r="AJ44" s="2595">
        <f t="shared" si="4"/>
        <v>0</v>
      </c>
      <c r="AK44" s="2595">
        <f t="shared" si="4"/>
        <v>0</v>
      </c>
      <c r="AL44" s="2594">
        <f t="shared" si="4"/>
        <v>18</v>
      </c>
      <c r="AM44" s="2594">
        <f t="shared" si="4"/>
        <v>6</v>
      </c>
      <c r="AN44" s="2594">
        <f t="shared" si="4"/>
        <v>1</v>
      </c>
      <c r="AO44" s="2594">
        <f t="shared" si="4"/>
        <v>15</v>
      </c>
      <c r="AP44" s="2594">
        <f t="shared" si="4"/>
        <v>13</v>
      </c>
      <c r="AQ44" s="2594">
        <f t="shared" si="4"/>
        <v>16</v>
      </c>
      <c r="AR44" s="2594">
        <f t="shared" si="4"/>
        <v>2</v>
      </c>
      <c r="AS44" s="2594">
        <f t="shared" si="4"/>
        <v>4</v>
      </c>
      <c r="AT44" s="2594">
        <f t="shared" si="4"/>
        <v>0</v>
      </c>
      <c r="AU44" s="2594">
        <f t="shared" si="4"/>
        <v>4</v>
      </c>
      <c r="AV44" s="2594">
        <f t="shared" si="4"/>
        <v>1</v>
      </c>
      <c r="AW44" s="2594">
        <f t="shared" si="4"/>
        <v>14</v>
      </c>
      <c r="AX44" s="2594">
        <f t="shared" si="4"/>
        <v>8</v>
      </c>
      <c r="AY44" s="2594">
        <f t="shared" si="4"/>
        <v>6</v>
      </c>
      <c r="AZ44" s="2594">
        <f t="shared" si="4"/>
        <v>5</v>
      </c>
      <c r="BA44" s="2594">
        <f t="shared" si="4"/>
        <v>5</v>
      </c>
    </row>
    <row r="45" ht="18.75" customHeight="1">
      <c r="A45" s="44"/>
      <c r="B45" s="2596" t="s">
        <v>120</v>
      </c>
      <c r="C45" s="44"/>
      <c r="D45" s="2597">
        <f t="shared" ref="D45:BA45" si="5">COUNTIF(D5:D40,"SO")</f>
        <v>1</v>
      </c>
      <c r="E45" s="2597">
        <f t="shared" si="5"/>
        <v>0</v>
      </c>
      <c r="F45" s="2597">
        <f t="shared" si="5"/>
        <v>0</v>
      </c>
      <c r="G45" s="2597">
        <f t="shared" si="5"/>
        <v>0</v>
      </c>
      <c r="H45" s="2597">
        <f t="shared" si="5"/>
        <v>0</v>
      </c>
      <c r="I45" s="2597">
        <f t="shared" si="5"/>
        <v>1</v>
      </c>
      <c r="J45" s="2597">
        <f t="shared" si="5"/>
        <v>0</v>
      </c>
      <c r="K45" s="2597">
        <f t="shared" si="5"/>
        <v>0</v>
      </c>
      <c r="L45" s="2597">
        <f t="shared" si="5"/>
        <v>0</v>
      </c>
      <c r="M45" s="2597">
        <f t="shared" si="5"/>
        <v>2</v>
      </c>
      <c r="N45" s="2598">
        <f t="shared" si="5"/>
        <v>0</v>
      </c>
      <c r="O45" s="2599">
        <f t="shared" si="5"/>
        <v>0</v>
      </c>
      <c r="P45" s="2599">
        <f t="shared" si="5"/>
        <v>1</v>
      </c>
      <c r="Q45" s="2599">
        <f t="shared" si="5"/>
        <v>0</v>
      </c>
      <c r="R45" s="2599">
        <f t="shared" si="5"/>
        <v>0</v>
      </c>
      <c r="S45" s="2599">
        <f t="shared" si="5"/>
        <v>1</v>
      </c>
      <c r="T45" s="2599">
        <f t="shared" si="5"/>
        <v>1</v>
      </c>
      <c r="U45" s="2599">
        <f t="shared" si="5"/>
        <v>1</v>
      </c>
      <c r="V45" s="2599">
        <f t="shared" si="5"/>
        <v>0</v>
      </c>
      <c r="W45" s="2599">
        <f t="shared" si="5"/>
        <v>0</v>
      </c>
      <c r="X45" s="2599">
        <f t="shared" si="5"/>
        <v>0</v>
      </c>
      <c r="Y45" s="2599">
        <f t="shared" si="5"/>
        <v>1</v>
      </c>
      <c r="Z45" s="2599">
        <f t="shared" si="5"/>
        <v>4</v>
      </c>
      <c r="AA45" s="2599">
        <f t="shared" si="5"/>
        <v>2</v>
      </c>
      <c r="AB45" s="2599">
        <f t="shared" si="5"/>
        <v>0</v>
      </c>
      <c r="AC45" s="2599">
        <f t="shared" si="5"/>
        <v>0</v>
      </c>
      <c r="AD45" s="2599">
        <f t="shared" si="5"/>
        <v>2</v>
      </c>
      <c r="AE45" s="2599">
        <f t="shared" si="5"/>
        <v>0</v>
      </c>
      <c r="AF45" s="2599">
        <f t="shared" si="5"/>
        <v>0</v>
      </c>
      <c r="AG45" s="2599">
        <f t="shared" si="5"/>
        <v>0</v>
      </c>
      <c r="AH45" s="2599">
        <f t="shared" si="5"/>
        <v>0</v>
      </c>
      <c r="AI45" s="2599">
        <f t="shared" si="5"/>
        <v>0</v>
      </c>
      <c r="AJ45" s="2600">
        <f t="shared" si="5"/>
        <v>0</v>
      </c>
      <c r="AK45" s="2600">
        <f t="shared" si="5"/>
        <v>0</v>
      </c>
      <c r="AL45" s="2599">
        <f t="shared" si="5"/>
        <v>0</v>
      </c>
      <c r="AM45" s="2599">
        <f t="shared" si="5"/>
        <v>0</v>
      </c>
      <c r="AN45" s="2599">
        <f t="shared" si="5"/>
        <v>0</v>
      </c>
      <c r="AO45" s="2599">
        <f t="shared" si="5"/>
        <v>0</v>
      </c>
      <c r="AP45" s="2599">
        <f t="shared" si="5"/>
        <v>3</v>
      </c>
      <c r="AQ45" s="2599">
        <f t="shared" si="5"/>
        <v>0</v>
      </c>
      <c r="AR45" s="2599">
        <f t="shared" si="5"/>
        <v>0</v>
      </c>
      <c r="AS45" s="2599">
        <f t="shared" si="5"/>
        <v>0</v>
      </c>
      <c r="AT45" s="2599">
        <f t="shared" si="5"/>
        <v>0</v>
      </c>
      <c r="AU45" s="2599">
        <f t="shared" si="5"/>
        <v>1</v>
      </c>
      <c r="AV45" s="2599">
        <f t="shared" si="5"/>
        <v>0</v>
      </c>
      <c r="AW45" s="2599">
        <f t="shared" si="5"/>
        <v>3</v>
      </c>
      <c r="AX45" s="2599">
        <f t="shared" si="5"/>
        <v>3</v>
      </c>
      <c r="AY45" s="2599">
        <f t="shared" si="5"/>
        <v>1</v>
      </c>
      <c r="AZ45" s="2599">
        <f t="shared" si="5"/>
        <v>1</v>
      </c>
      <c r="BA45" s="2599">
        <f t="shared" si="5"/>
        <v>1</v>
      </c>
    </row>
    <row r="46" ht="18.75" customHeight="1">
      <c r="A46" s="44"/>
      <c r="B46" s="2601" t="s">
        <v>121</v>
      </c>
      <c r="C46" s="44"/>
      <c r="D46" s="2602">
        <f t="shared" ref="D46:BA46" si="6">COUNTIF(D5:D40,"NG")</f>
        <v>1</v>
      </c>
      <c r="E46" s="2602">
        <f t="shared" si="6"/>
        <v>1</v>
      </c>
      <c r="F46" s="2602">
        <f t="shared" si="6"/>
        <v>1</v>
      </c>
      <c r="G46" s="2602">
        <f t="shared" si="6"/>
        <v>1</v>
      </c>
      <c r="H46" s="2602">
        <f t="shared" si="6"/>
        <v>1</v>
      </c>
      <c r="I46" s="2602">
        <f t="shared" si="6"/>
        <v>1</v>
      </c>
      <c r="J46" s="2602">
        <f t="shared" si="6"/>
        <v>5</v>
      </c>
      <c r="K46" s="2602">
        <f t="shared" si="6"/>
        <v>5</v>
      </c>
      <c r="L46" s="2602">
        <f t="shared" si="6"/>
        <v>5</v>
      </c>
      <c r="M46" s="2602">
        <f t="shared" si="6"/>
        <v>5</v>
      </c>
      <c r="N46" s="2603">
        <f t="shared" si="6"/>
        <v>5</v>
      </c>
      <c r="O46" s="2604">
        <f t="shared" si="6"/>
        <v>5</v>
      </c>
      <c r="P46" s="2604">
        <f t="shared" si="6"/>
        <v>5</v>
      </c>
      <c r="Q46" s="2604">
        <f t="shared" si="6"/>
        <v>5</v>
      </c>
      <c r="R46" s="2604">
        <f t="shared" si="6"/>
        <v>5</v>
      </c>
      <c r="S46" s="2604">
        <f t="shared" si="6"/>
        <v>5</v>
      </c>
      <c r="T46" s="2604">
        <f t="shared" si="6"/>
        <v>5</v>
      </c>
      <c r="U46" s="2604">
        <f t="shared" si="6"/>
        <v>5</v>
      </c>
      <c r="V46" s="2604">
        <f t="shared" si="6"/>
        <v>5</v>
      </c>
      <c r="W46" s="2604">
        <f t="shared" si="6"/>
        <v>3</v>
      </c>
      <c r="X46" s="2604">
        <f t="shared" si="6"/>
        <v>3</v>
      </c>
      <c r="Y46" s="2604">
        <f t="shared" si="6"/>
        <v>3</v>
      </c>
      <c r="Z46" s="2604">
        <f t="shared" si="6"/>
        <v>3</v>
      </c>
      <c r="AA46" s="2604">
        <f t="shared" si="6"/>
        <v>3</v>
      </c>
      <c r="AB46" s="2604">
        <f t="shared" si="6"/>
        <v>7</v>
      </c>
      <c r="AC46" s="2604">
        <f t="shared" si="6"/>
        <v>7</v>
      </c>
      <c r="AD46" s="2604">
        <f t="shared" si="6"/>
        <v>7</v>
      </c>
      <c r="AE46" s="2604">
        <f t="shared" si="6"/>
        <v>7</v>
      </c>
      <c r="AF46" s="2604">
        <f t="shared" si="6"/>
        <v>6</v>
      </c>
      <c r="AG46" s="2604">
        <f t="shared" si="6"/>
        <v>6</v>
      </c>
      <c r="AH46" s="2604">
        <f t="shared" si="6"/>
        <v>6</v>
      </c>
      <c r="AI46" s="2604">
        <f t="shared" si="6"/>
        <v>6</v>
      </c>
      <c r="AJ46" s="2605">
        <f t="shared" si="6"/>
        <v>6</v>
      </c>
      <c r="AK46" s="2605">
        <f t="shared" si="6"/>
        <v>6</v>
      </c>
      <c r="AL46" s="2604">
        <f t="shared" si="6"/>
        <v>5</v>
      </c>
      <c r="AM46" s="2604">
        <f t="shared" si="6"/>
        <v>5</v>
      </c>
      <c r="AN46" s="2604">
        <f t="shared" si="6"/>
        <v>5</v>
      </c>
      <c r="AO46" s="2604">
        <f t="shared" si="6"/>
        <v>5</v>
      </c>
      <c r="AP46" s="2604">
        <f t="shared" si="6"/>
        <v>7</v>
      </c>
      <c r="AQ46" s="2604">
        <f t="shared" si="6"/>
        <v>7</v>
      </c>
      <c r="AR46" s="2604">
        <f t="shared" si="6"/>
        <v>7</v>
      </c>
      <c r="AS46" s="2604">
        <f t="shared" si="6"/>
        <v>8</v>
      </c>
      <c r="AT46" s="2604">
        <f t="shared" si="6"/>
        <v>8</v>
      </c>
      <c r="AU46" s="2604">
        <f t="shared" si="6"/>
        <v>8</v>
      </c>
      <c r="AV46" s="2604">
        <f t="shared" si="6"/>
        <v>8</v>
      </c>
      <c r="AW46" s="2604">
        <f t="shared" si="6"/>
        <v>3</v>
      </c>
      <c r="AX46" s="2604">
        <f t="shared" si="6"/>
        <v>3</v>
      </c>
      <c r="AY46" s="2604">
        <f t="shared" si="6"/>
        <v>3</v>
      </c>
      <c r="AZ46" s="2604">
        <f t="shared" si="6"/>
        <v>3</v>
      </c>
      <c r="BA46" s="2604">
        <f t="shared" si="6"/>
        <v>3</v>
      </c>
    </row>
    <row r="47" ht="18.75" customHeight="1">
      <c r="A47" s="44"/>
      <c r="B47" s="2606" t="s">
        <v>122</v>
      </c>
      <c r="C47" s="44"/>
      <c r="D47" s="2607">
        <f t="shared" ref="D47:BA47" si="7">SUM(D43:D46)</f>
        <v>25</v>
      </c>
      <c r="E47" s="2607">
        <f t="shared" si="7"/>
        <v>25</v>
      </c>
      <c r="F47" s="2607">
        <f t="shared" si="7"/>
        <v>25</v>
      </c>
      <c r="G47" s="2607">
        <f t="shared" si="7"/>
        <v>25</v>
      </c>
      <c r="H47" s="2607">
        <f t="shared" si="7"/>
        <v>25</v>
      </c>
      <c r="I47" s="2607">
        <f t="shared" si="7"/>
        <v>25</v>
      </c>
      <c r="J47" s="2607">
        <f t="shared" si="7"/>
        <v>25</v>
      </c>
      <c r="K47" s="2607">
        <f t="shared" si="7"/>
        <v>25</v>
      </c>
      <c r="L47" s="2607">
        <f t="shared" si="7"/>
        <v>25</v>
      </c>
      <c r="M47" s="2607">
        <f t="shared" si="7"/>
        <v>25</v>
      </c>
      <c r="N47" s="2608">
        <f t="shared" si="7"/>
        <v>25</v>
      </c>
      <c r="O47" s="2609">
        <f t="shared" si="7"/>
        <v>25</v>
      </c>
      <c r="P47" s="2609">
        <f t="shared" si="7"/>
        <v>25</v>
      </c>
      <c r="Q47" s="2609">
        <f t="shared" si="7"/>
        <v>25</v>
      </c>
      <c r="R47" s="2609">
        <f t="shared" si="7"/>
        <v>25</v>
      </c>
      <c r="S47" s="2609">
        <f t="shared" si="7"/>
        <v>25</v>
      </c>
      <c r="T47" s="2609">
        <f t="shared" si="7"/>
        <v>25</v>
      </c>
      <c r="U47" s="2609">
        <f t="shared" si="7"/>
        <v>25</v>
      </c>
      <c r="V47" s="2609">
        <f t="shared" si="7"/>
        <v>25</v>
      </c>
      <c r="W47" s="2609">
        <f t="shared" si="7"/>
        <v>25</v>
      </c>
      <c r="X47" s="2609">
        <f t="shared" si="7"/>
        <v>25</v>
      </c>
      <c r="Y47" s="2609">
        <f t="shared" si="7"/>
        <v>25</v>
      </c>
      <c r="Z47" s="2609">
        <f t="shared" si="7"/>
        <v>25</v>
      </c>
      <c r="AA47" s="2609">
        <f t="shared" si="7"/>
        <v>25</v>
      </c>
      <c r="AB47" s="2609">
        <f t="shared" si="7"/>
        <v>25</v>
      </c>
      <c r="AC47" s="2609">
        <f t="shared" si="7"/>
        <v>25</v>
      </c>
      <c r="AD47" s="2609">
        <f t="shared" si="7"/>
        <v>25</v>
      </c>
      <c r="AE47" s="2609">
        <f t="shared" si="7"/>
        <v>25</v>
      </c>
      <c r="AF47" s="2609">
        <f t="shared" si="7"/>
        <v>25</v>
      </c>
      <c r="AG47" s="2609">
        <f t="shared" si="7"/>
        <v>25</v>
      </c>
      <c r="AH47" s="2609">
        <f t="shared" si="7"/>
        <v>25</v>
      </c>
      <c r="AI47" s="2609">
        <f t="shared" si="7"/>
        <v>25</v>
      </c>
      <c r="AJ47" s="2610">
        <f t="shared" si="7"/>
        <v>25</v>
      </c>
      <c r="AK47" s="2610">
        <f t="shared" si="7"/>
        <v>25</v>
      </c>
      <c r="AL47" s="2609">
        <f t="shared" si="7"/>
        <v>25</v>
      </c>
      <c r="AM47" s="2609">
        <f t="shared" si="7"/>
        <v>25</v>
      </c>
      <c r="AN47" s="2609">
        <f t="shared" si="7"/>
        <v>25</v>
      </c>
      <c r="AO47" s="2609">
        <f t="shared" si="7"/>
        <v>25</v>
      </c>
      <c r="AP47" s="2609">
        <f t="shared" si="7"/>
        <v>25</v>
      </c>
      <c r="AQ47" s="2609">
        <f t="shared" si="7"/>
        <v>25</v>
      </c>
      <c r="AR47" s="2609">
        <f t="shared" si="7"/>
        <v>25</v>
      </c>
      <c r="AS47" s="2609">
        <f t="shared" si="7"/>
        <v>25</v>
      </c>
      <c r="AT47" s="2609">
        <f t="shared" si="7"/>
        <v>25</v>
      </c>
      <c r="AU47" s="2609">
        <f t="shared" si="7"/>
        <v>25</v>
      </c>
      <c r="AV47" s="2609">
        <f t="shared" si="7"/>
        <v>25</v>
      </c>
      <c r="AW47" s="2609">
        <f t="shared" si="7"/>
        <v>24</v>
      </c>
      <c r="AX47" s="2609">
        <f t="shared" si="7"/>
        <v>24</v>
      </c>
      <c r="AY47" s="2609">
        <f t="shared" si="7"/>
        <v>24</v>
      </c>
      <c r="AZ47" s="2609">
        <f t="shared" si="7"/>
        <v>24</v>
      </c>
      <c r="BA47" s="2609">
        <f t="shared" si="7"/>
        <v>24</v>
      </c>
    </row>
    <row r="48" ht="18.75" customHeight="1">
      <c r="A48" s="44"/>
      <c r="B48" s="2611" t="s">
        <v>124</v>
      </c>
      <c r="C48" s="44"/>
      <c r="D48" s="2612">
        <f t="shared" ref="D48:BA48" si="8">D43+D44+D45</f>
        <v>24</v>
      </c>
      <c r="E48" s="2612">
        <f t="shared" si="8"/>
        <v>24</v>
      </c>
      <c r="F48" s="2612">
        <f t="shared" si="8"/>
        <v>24</v>
      </c>
      <c r="G48" s="2612">
        <f t="shared" si="8"/>
        <v>24</v>
      </c>
      <c r="H48" s="2612">
        <f t="shared" si="8"/>
        <v>24</v>
      </c>
      <c r="I48" s="2612">
        <f t="shared" si="8"/>
        <v>24</v>
      </c>
      <c r="J48" s="2612">
        <f t="shared" si="8"/>
        <v>20</v>
      </c>
      <c r="K48" s="2612">
        <f t="shared" si="8"/>
        <v>20</v>
      </c>
      <c r="L48" s="2612">
        <f t="shared" si="8"/>
        <v>20</v>
      </c>
      <c r="M48" s="2612">
        <f t="shared" si="8"/>
        <v>20</v>
      </c>
      <c r="N48" s="2613">
        <f t="shared" si="8"/>
        <v>20</v>
      </c>
      <c r="O48" s="2614">
        <f t="shared" si="8"/>
        <v>20</v>
      </c>
      <c r="P48" s="2614">
        <f t="shared" si="8"/>
        <v>20</v>
      </c>
      <c r="Q48" s="2614">
        <f t="shared" si="8"/>
        <v>20</v>
      </c>
      <c r="R48" s="2614">
        <f t="shared" si="8"/>
        <v>20</v>
      </c>
      <c r="S48" s="2614">
        <f t="shared" si="8"/>
        <v>20</v>
      </c>
      <c r="T48" s="2614">
        <f t="shared" si="8"/>
        <v>20</v>
      </c>
      <c r="U48" s="2614">
        <f t="shared" si="8"/>
        <v>20</v>
      </c>
      <c r="V48" s="2614">
        <f t="shared" si="8"/>
        <v>20</v>
      </c>
      <c r="W48" s="2614">
        <f t="shared" si="8"/>
        <v>22</v>
      </c>
      <c r="X48" s="2614">
        <f t="shared" si="8"/>
        <v>22</v>
      </c>
      <c r="Y48" s="2614">
        <f t="shared" si="8"/>
        <v>22</v>
      </c>
      <c r="Z48" s="2614">
        <f t="shared" si="8"/>
        <v>22</v>
      </c>
      <c r="AA48" s="2614">
        <f t="shared" si="8"/>
        <v>22</v>
      </c>
      <c r="AB48" s="2614">
        <f t="shared" si="8"/>
        <v>18</v>
      </c>
      <c r="AC48" s="2614">
        <f t="shared" si="8"/>
        <v>18</v>
      </c>
      <c r="AD48" s="2614">
        <f t="shared" si="8"/>
        <v>18</v>
      </c>
      <c r="AE48" s="2614">
        <f t="shared" si="8"/>
        <v>18</v>
      </c>
      <c r="AF48" s="2614">
        <f t="shared" si="8"/>
        <v>19</v>
      </c>
      <c r="AG48" s="2614">
        <f t="shared" si="8"/>
        <v>19</v>
      </c>
      <c r="AH48" s="2614">
        <f t="shared" si="8"/>
        <v>19</v>
      </c>
      <c r="AI48" s="2614">
        <f t="shared" si="8"/>
        <v>19</v>
      </c>
      <c r="AJ48" s="2615">
        <f t="shared" si="8"/>
        <v>19</v>
      </c>
      <c r="AK48" s="2615">
        <f t="shared" si="8"/>
        <v>19</v>
      </c>
      <c r="AL48" s="2614">
        <f t="shared" si="8"/>
        <v>20</v>
      </c>
      <c r="AM48" s="2614">
        <f t="shared" si="8"/>
        <v>20</v>
      </c>
      <c r="AN48" s="2614">
        <f t="shared" si="8"/>
        <v>20</v>
      </c>
      <c r="AO48" s="2614">
        <f t="shared" si="8"/>
        <v>20</v>
      </c>
      <c r="AP48" s="2614">
        <f t="shared" si="8"/>
        <v>18</v>
      </c>
      <c r="AQ48" s="2614">
        <f t="shared" si="8"/>
        <v>18</v>
      </c>
      <c r="AR48" s="2614">
        <f t="shared" si="8"/>
        <v>18</v>
      </c>
      <c r="AS48" s="2614">
        <f t="shared" si="8"/>
        <v>17</v>
      </c>
      <c r="AT48" s="2614">
        <f t="shared" si="8"/>
        <v>17</v>
      </c>
      <c r="AU48" s="2614">
        <f t="shared" si="8"/>
        <v>17</v>
      </c>
      <c r="AV48" s="2614">
        <f t="shared" si="8"/>
        <v>17</v>
      </c>
      <c r="AW48" s="2614">
        <f t="shared" si="8"/>
        <v>21</v>
      </c>
      <c r="AX48" s="2614">
        <f t="shared" si="8"/>
        <v>21</v>
      </c>
      <c r="AY48" s="2614">
        <f t="shared" si="8"/>
        <v>21</v>
      </c>
      <c r="AZ48" s="2614">
        <f t="shared" si="8"/>
        <v>21</v>
      </c>
      <c r="BA48" s="2614">
        <f t="shared" si="8"/>
        <v>21</v>
      </c>
    </row>
    <row r="49" ht="18.75" customHeight="1">
      <c r="A49" s="228"/>
      <c r="B49" s="2616" t="s">
        <v>125</v>
      </c>
      <c r="C49" s="228"/>
      <c r="D49" s="2617">
        <f t="shared" ref="D49:BA49" si="9">IFERROR(D48/D47,"")</f>
        <v>0.96</v>
      </c>
      <c r="E49" s="2617">
        <f t="shared" si="9"/>
        <v>0.96</v>
      </c>
      <c r="F49" s="2617">
        <f t="shared" si="9"/>
        <v>0.96</v>
      </c>
      <c r="G49" s="2617">
        <f t="shared" si="9"/>
        <v>0.96</v>
      </c>
      <c r="H49" s="2617">
        <f t="shared" si="9"/>
        <v>0.96</v>
      </c>
      <c r="I49" s="2617">
        <f t="shared" si="9"/>
        <v>0.96</v>
      </c>
      <c r="J49" s="2617">
        <f t="shared" si="9"/>
        <v>0.8</v>
      </c>
      <c r="K49" s="2617">
        <f t="shared" si="9"/>
        <v>0.8</v>
      </c>
      <c r="L49" s="2617">
        <f t="shared" si="9"/>
        <v>0.8</v>
      </c>
      <c r="M49" s="2617">
        <f t="shared" si="9"/>
        <v>0.8</v>
      </c>
      <c r="N49" s="2618">
        <f t="shared" si="9"/>
        <v>0.8</v>
      </c>
      <c r="O49" s="2619">
        <f t="shared" si="9"/>
        <v>0.8</v>
      </c>
      <c r="P49" s="2619">
        <f t="shared" si="9"/>
        <v>0.8</v>
      </c>
      <c r="Q49" s="2619">
        <f t="shared" si="9"/>
        <v>0.8</v>
      </c>
      <c r="R49" s="2619">
        <f t="shared" si="9"/>
        <v>0.8</v>
      </c>
      <c r="S49" s="2619">
        <f t="shared" si="9"/>
        <v>0.8</v>
      </c>
      <c r="T49" s="2619">
        <f t="shared" si="9"/>
        <v>0.8</v>
      </c>
      <c r="U49" s="2619">
        <f t="shared" si="9"/>
        <v>0.8</v>
      </c>
      <c r="V49" s="2619">
        <f t="shared" si="9"/>
        <v>0.8</v>
      </c>
      <c r="W49" s="2619">
        <f t="shared" si="9"/>
        <v>0.88</v>
      </c>
      <c r="X49" s="2619">
        <f t="shared" si="9"/>
        <v>0.88</v>
      </c>
      <c r="Y49" s="2619">
        <f t="shared" si="9"/>
        <v>0.88</v>
      </c>
      <c r="Z49" s="2619">
        <f t="shared" si="9"/>
        <v>0.88</v>
      </c>
      <c r="AA49" s="2619">
        <f t="shared" si="9"/>
        <v>0.88</v>
      </c>
      <c r="AB49" s="2619">
        <f t="shared" si="9"/>
        <v>0.72</v>
      </c>
      <c r="AC49" s="2619">
        <f t="shared" si="9"/>
        <v>0.72</v>
      </c>
      <c r="AD49" s="2619">
        <f t="shared" si="9"/>
        <v>0.72</v>
      </c>
      <c r="AE49" s="2619">
        <f t="shared" si="9"/>
        <v>0.72</v>
      </c>
      <c r="AF49" s="2619">
        <f t="shared" si="9"/>
        <v>0.76</v>
      </c>
      <c r="AG49" s="2619">
        <f t="shared" si="9"/>
        <v>0.76</v>
      </c>
      <c r="AH49" s="2619">
        <f t="shared" si="9"/>
        <v>0.76</v>
      </c>
      <c r="AI49" s="2619">
        <f t="shared" si="9"/>
        <v>0.76</v>
      </c>
      <c r="AJ49" s="2620">
        <f t="shared" si="9"/>
        <v>0.76</v>
      </c>
      <c r="AK49" s="2620">
        <f t="shared" si="9"/>
        <v>0.76</v>
      </c>
      <c r="AL49" s="2619">
        <f t="shared" si="9"/>
        <v>0.8</v>
      </c>
      <c r="AM49" s="2619">
        <f t="shared" si="9"/>
        <v>0.8</v>
      </c>
      <c r="AN49" s="2619">
        <f t="shared" si="9"/>
        <v>0.8</v>
      </c>
      <c r="AO49" s="2619">
        <f t="shared" si="9"/>
        <v>0.8</v>
      </c>
      <c r="AP49" s="2619">
        <f t="shared" si="9"/>
        <v>0.72</v>
      </c>
      <c r="AQ49" s="2619">
        <f t="shared" si="9"/>
        <v>0.72</v>
      </c>
      <c r="AR49" s="2619">
        <f t="shared" si="9"/>
        <v>0.72</v>
      </c>
      <c r="AS49" s="2619">
        <f t="shared" si="9"/>
        <v>0.68</v>
      </c>
      <c r="AT49" s="2619">
        <f t="shared" si="9"/>
        <v>0.68</v>
      </c>
      <c r="AU49" s="2619">
        <f t="shared" si="9"/>
        <v>0.68</v>
      </c>
      <c r="AV49" s="2619">
        <f t="shared" si="9"/>
        <v>0.68</v>
      </c>
      <c r="AW49" s="2619">
        <f t="shared" si="9"/>
        <v>0.875</v>
      </c>
      <c r="AX49" s="2619">
        <f t="shared" si="9"/>
        <v>0.875</v>
      </c>
      <c r="AY49" s="2619">
        <f t="shared" si="9"/>
        <v>0.875</v>
      </c>
      <c r="AZ49" s="2619">
        <f t="shared" si="9"/>
        <v>0.875</v>
      </c>
      <c r="BA49" s="2619">
        <f t="shared" si="9"/>
        <v>0.875</v>
      </c>
    </row>
  </sheetData>
  <mergeCells count="17">
    <mergeCell ref="A2:C2"/>
    <mergeCell ref="D2:BA4"/>
    <mergeCell ref="A3:C4"/>
    <mergeCell ref="A7:A29"/>
    <mergeCell ref="B7:B15"/>
    <mergeCell ref="B16:B25"/>
    <mergeCell ref="A31:A41"/>
    <mergeCell ref="B47:C47"/>
    <mergeCell ref="B48:C48"/>
    <mergeCell ref="B26:B28"/>
    <mergeCell ref="B31:B38"/>
    <mergeCell ref="A43:A49"/>
    <mergeCell ref="B43:C43"/>
    <mergeCell ref="B44:C44"/>
    <mergeCell ref="B45:C45"/>
    <mergeCell ref="B46:C46"/>
    <mergeCell ref="B49:C49"/>
  </mergeCells>
  <conditionalFormatting sqref="A3">
    <cfRule type="containsText" dxfId="0" priority="1" operator="containsText" text="voor">
      <formula>NOT(ISERROR(SEARCH(("voor"),(A3))))</formula>
    </cfRule>
  </conditionalFormatting>
  <conditionalFormatting sqref="A3">
    <cfRule type="containsText" dxfId="1" priority="2" operator="containsText" text="tegen">
      <formula>NOT(ISERROR(SEARCH(("tegen"),(A3))))</formula>
    </cfRule>
  </conditionalFormatting>
  <conditionalFormatting sqref="L7:N9 O7:O29 P7:Z22 AA7:AA29 AF7:AI9 AS7:AV7 AB8 AC9:AE9 AJ9:AZ9 L11:N14 AC11:AZ16 BA16 AB18:AB19 AF18:AI20 AS18:AZ26 L19:N20 AC19:AE20 AJ19:AO20 AP19:AR26 BA19:BA20 L22:M22 N22:N27 BA22:BA24 AC23:AO26 L24:M27 P24:Z29 D26:K26 AB26 BA26 D29 F29:N29 AB29:BA29 L33:N33 C34:C38 AS38:AV38 AS41:AV41">
    <cfRule type="containsText" dxfId="5" priority="3" operator="containsText" text="NG">
      <formula>NOT(ISERROR(SEARCH(("NG"),(L7))))</formula>
    </cfRule>
  </conditionalFormatting>
  <conditionalFormatting sqref="B7 D7:I41 J7:J29 K7:U41 V7:V29 W7:AK41 AL7:AL29 AM7:AQ41 AR7:AR29 AS7:AV41 AW7:BA29 C28 B31:C38 J31:J41 V31:V41 AL31:AL41 AR31:AR41 AW31:BA41">
    <cfRule type="containsText" dxfId="2" priority="4" operator="containsText" text="SO">
      <formula>NOT(ISERROR(SEARCH(("SO"),(B7))))</formula>
    </cfRule>
  </conditionalFormatting>
  <conditionalFormatting sqref="A3 B7 D7:I41 J7:J29 K7:U41 V7:V29 W7:AK41 AL7:AL29 AM7:AQ41 AR7:AR29 AS7:AV41 AW7:BA29 C28 B31:C38 J31:J41 V31:V41 AL31:AL41 AR31:AR41 AW31:BA41">
    <cfRule type="containsText" dxfId="3" priority="5" operator="containsText" text="tegen">
      <formula>NOT(ISERROR(SEARCH(("tegen"),(A3))))</formula>
    </cfRule>
  </conditionalFormatting>
  <conditionalFormatting sqref="B7 D7:I41 J7:J29 K7:U41 V7:V29 W7:AK41 AL7:AL29 AM7:AQ41 AR7:AR29 AS7:AV41 AW7:BA29 C28 B31:C38 J31:J41 V31:V41 AL31:AL41 AR31:AR41 AW31:BA41">
    <cfRule type="containsText" dxfId="4" priority="6" operator="containsText" text="voor">
      <formula>NOT(ISERROR(SEARCH(("voor"),(B7))))</formula>
    </cfRule>
  </conditionalFormatting>
  <conditionalFormatting sqref="B7 D7:I41 J7:J29 K7:U41 V7:V29 W7:AK41 AL7:AL29 AM7:AQ41 AR7:AR29 AS7:AV41 AW7:BA29 C28 B31:C38 J31:J41 V31:V41 AL31:AL41 AR31:AR41 AW31:BA41">
    <cfRule type="cellIs" dxfId="5" priority="7" operator="equal">
      <formula>"NG"</formula>
    </cfRule>
  </conditionalFormatting>
  <conditionalFormatting sqref="B7 D7:I41 J7:J29 K7:U41 V7:V29 W7:AK41 AL7:AL29 AM7:AQ41 AR7:AR29 AS7:AV41 AW7:BA29 C28 B31:C38 J31:J41 V31:V41 AL31:AL41 AR31:AR41 AW31:BA41">
    <cfRule type="containsText" dxfId="6" priority="8" operator="containsText" text="NVT">
      <formula>NOT(ISERROR(SEARCH(("NVT"),(B7))))</formula>
    </cfRule>
  </conditionalFormatting>
  <drawing r:id="rId1"/>
</worksheet>
</file>

<file path=xl/worksheets/sheet2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CC4125"/>
    <outlinePr summaryBelow="0" summaryRight="0"/>
  </sheetPr>
  <sheetViews>
    <sheetView workbookViewId="0">
      <pane xSplit="3.0" topLeftCell="D1" activePane="topRight" state="frozen"/>
      <selection activeCell="E2" sqref="E2" pane="topRight"/>
    </sheetView>
  </sheetViews>
  <sheetFormatPr customHeight="1" defaultColWidth="14.43" defaultRowHeight="15.75"/>
  <cols>
    <col customWidth="1" min="1" max="1" width="10.86"/>
    <col customWidth="1" min="2" max="2" width="11.0"/>
    <col customWidth="1" min="3" max="3" width="21.86"/>
  </cols>
  <sheetData>
    <row r="1" ht="18.75" customHeight="1">
      <c r="A1" s="2621" t="s">
        <v>1817</v>
      </c>
      <c r="B1" s="1438"/>
      <c r="C1" s="1438"/>
      <c r="D1" s="1438"/>
      <c r="E1" s="1438"/>
      <c r="F1" s="1438"/>
      <c r="G1" s="1438"/>
      <c r="H1" s="1438"/>
      <c r="I1" s="1438"/>
      <c r="J1" s="1438"/>
      <c r="K1" s="1438"/>
      <c r="L1" s="1438"/>
      <c r="M1" s="1438"/>
      <c r="N1" s="1438"/>
      <c r="O1" s="1438"/>
    </row>
    <row r="2" ht="18.75" customHeight="1">
      <c r="A2" s="2622"/>
      <c r="B2" s="2357"/>
      <c r="C2" s="2358"/>
      <c r="D2" s="2623" t="s">
        <v>1818</v>
      </c>
      <c r="E2" s="16"/>
      <c r="F2" s="16"/>
      <c r="G2" s="16"/>
      <c r="H2" s="16"/>
      <c r="I2" s="16"/>
      <c r="J2" s="16"/>
      <c r="K2" s="16"/>
      <c r="L2" s="16"/>
      <c r="M2" s="16"/>
      <c r="N2" s="16"/>
      <c r="O2" s="17"/>
    </row>
    <row r="3" ht="18.75" customHeight="1">
      <c r="A3" s="1438"/>
      <c r="B3" s="1438"/>
      <c r="C3" s="1438"/>
      <c r="D3" s="2624"/>
      <c r="E3" s="2624"/>
      <c r="F3" s="2624"/>
      <c r="G3" s="1438"/>
      <c r="H3" s="1438"/>
      <c r="I3" s="1438"/>
      <c r="J3" s="1438"/>
      <c r="K3" s="1438"/>
      <c r="L3" s="1438"/>
      <c r="M3" s="1438"/>
      <c r="N3" s="1438"/>
      <c r="O3" s="1438"/>
    </row>
    <row r="4" ht="18.75" customHeight="1">
      <c r="A4" s="2622" t="s">
        <v>1030</v>
      </c>
      <c r="B4" s="2357"/>
      <c r="C4" s="2358"/>
      <c r="D4" s="2625" t="s">
        <v>127</v>
      </c>
      <c r="E4" s="124"/>
      <c r="F4" s="124"/>
      <c r="G4" s="124"/>
      <c r="H4" s="124"/>
      <c r="I4" s="124"/>
      <c r="J4" s="124"/>
      <c r="K4" s="124"/>
      <c r="L4" s="124"/>
      <c r="M4" s="124"/>
      <c r="N4" s="124"/>
      <c r="O4" s="2362"/>
    </row>
    <row r="5" ht="18.75" customHeight="1">
      <c r="A5" s="2507" t="s">
        <v>1939</v>
      </c>
      <c r="C5" s="135"/>
      <c r="D5" s="43"/>
      <c r="O5" s="885"/>
    </row>
    <row r="6" ht="18.75" customHeight="1">
      <c r="C6" s="135"/>
      <c r="D6" s="2363"/>
      <c r="E6" s="1396"/>
      <c r="F6" s="1396"/>
      <c r="G6" s="1396"/>
      <c r="H6" s="1396"/>
      <c r="I6" s="1396"/>
      <c r="J6" s="1396"/>
      <c r="K6" s="1396"/>
      <c r="L6" s="1396"/>
      <c r="M6" s="1396"/>
      <c r="N6" s="1396"/>
      <c r="O6" s="1397"/>
    </row>
    <row r="7" ht="18.75" customHeight="1">
      <c r="A7" s="2626" t="s">
        <v>86</v>
      </c>
      <c r="B7" s="2627" t="s">
        <v>87</v>
      </c>
      <c r="C7" s="2628" t="s">
        <v>88</v>
      </c>
      <c r="D7" s="2512" t="str">
        <f>HYPERLINK("https://www.reddit.com/r/RMTK/comments/c26kl0/w0025_koepelwet_kerncentrales/","W0025")</f>
        <v>W0025</v>
      </c>
      <c r="E7" s="2512" t="str">
        <f>HYPERLINK("https://www.reddit.com/r/RMTK/comments/c4pqxl/w0027_wetswijziging_tot_verbieden_discriminatie/","W0027")</f>
        <v>W0027</v>
      </c>
      <c r="F7" s="2511" t="str">
        <f>HYPERLINK("https://www.reddit.com/r/RMTK/comments/c8rc1h/w0028_wetswijziging_tot_aanvulling_op_de_wet/","W0028")</f>
        <v>W0028</v>
      </c>
      <c r="G7" s="2511" t="str">
        <f>HYPERLINK("https://www.reddit.com/r/RMTK/comments/cbidty/w0029_wijziging_van_het_burgerlijk_wetboek_boek_1/","W0029")</f>
        <v>W0029</v>
      </c>
      <c r="H7" s="2511" t="str">
        <f>HYPERLINK("https://www.reddit.com/r/RMTK/comments/cee57r/w0025_tweede_lezingkoepelwet_kerncentrales/","W0025")</f>
        <v>W0025</v>
      </c>
      <c r="I7" s="2511" t="str">
        <f>HYPERLINK("https://www.reddit.com/r/RMTK/comments/cedsei/w0030_wijziging_van_het_burgerlijk_wetboek_boek_1/","W0030")</f>
        <v>W0030</v>
      </c>
      <c r="J7" s="2511" t="str">
        <f>HYPERLINK("https://www.reddit.com/r/RMTK/comments/cev17r/w0031_hernieuwde_klimaatwet_2019/","W0031")</f>
        <v>W0031</v>
      </c>
      <c r="K7" s="2511" t="str">
        <f>HYPERLINK("https://www.reddit.com/r/RMTK/comments/cgethq/wetsvoorstel_tot_budgettaire_begroting/","W0032")</f>
        <v>W0032</v>
      </c>
      <c r="L7" s="2511" t="str">
        <f>HYPERLINK("https://www.reddit.com/r/RMTK/comments/ch9l69/w0033_wet_erkenning_recht_op_voltooid_leven/","W0033")</f>
        <v>W0033</v>
      </c>
      <c r="M7" s="2511" t="str">
        <f>HYPERLINK("https://www.reddit.com/r/RMTK/comments/cwp79y/w0036_wet_ter_erkenning_van_de_nederlandse/","W0036")</f>
        <v>W0036</v>
      </c>
      <c r="N7" s="2511" t="str">
        <f>HYPERLINK("https://www.reddit.com/r/RMTK/comments/cyt6r7/w0038_wetsvoorstel_tot_wijziging_van_de_wet_op_de/","W0038")</f>
        <v>W0038</v>
      </c>
      <c r="O7" s="2629"/>
    </row>
    <row r="8" ht="6.0" customHeight="1">
      <c r="A8" s="2630"/>
      <c r="B8" s="2631"/>
      <c r="C8" s="2631"/>
      <c r="D8" s="2513"/>
      <c r="E8" s="2513"/>
      <c r="F8" s="2513"/>
      <c r="G8" s="2516"/>
      <c r="H8" s="2513"/>
      <c r="I8" s="2513"/>
      <c r="J8" s="2513"/>
      <c r="K8" s="2513"/>
      <c r="L8" s="2513"/>
      <c r="M8" s="2516"/>
      <c r="N8" s="2516"/>
      <c r="O8" s="2516"/>
    </row>
    <row r="9" ht="18.75" customHeight="1">
      <c r="A9" s="2632" t="s">
        <v>1735</v>
      </c>
      <c r="B9" s="2633" t="s">
        <v>31</v>
      </c>
      <c r="C9" s="2634" t="s">
        <v>111</v>
      </c>
      <c r="D9" s="2635" t="s">
        <v>91</v>
      </c>
      <c r="E9" s="2635" t="s">
        <v>91</v>
      </c>
      <c r="F9" s="2635" t="s">
        <v>91</v>
      </c>
      <c r="G9" s="2635" t="s">
        <v>91</v>
      </c>
      <c r="H9" s="2635" t="s">
        <v>91</v>
      </c>
      <c r="I9" s="2635" t="s">
        <v>91</v>
      </c>
      <c r="J9" s="2635" t="s">
        <v>91</v>
      </c>
      <c r="K9" s="2635" t="s">
        <v>91</v>
      </c>
      <c r="L9" s="2635" t="s">
        <v>92</v>
      </c>
      <c r="M9" s="2635" t="s">
        <v>91</v>
      </c>
      <c r="N9" s="2635" t="s">
        <v>118</v>
      </c>
      <c r="O9" s="2635" t="s">
        <v>118</v>
      </c>
    </row>
    <row r="10" ht="18.75" customHeight="1">
      <c r="A10" s="813"/>
      <c r="B10" s="131"/>
      <c r="C10" s="2636" t="s">
        <v>1945</v>
      </c>
      <c r="D10" s="2635" t="s">
        <v>118</v>
      </c>
      <c r="E10" s="2635" t="s">
        <v>118</v>
      </c>
      <c r="F10" s="2635" t="s">
        <v>118</v>
      </c>
      <c r="G10" s="2635" t="s">
        <v>118</v>
      </c>
      <c r="H10" s="2635" t="s">
        <v>118</v>
      </c>
      <c r="I10" s="2635" t="s">
        <v>118</v>
      </c>
      <c r="J10" s="2635" t="s">
        <v>118</v>
      </c>
      <c r="K10" s="2635" t="s">
        <v>118</v>
      </c>
      <c r="L10" s="2635" t="s">
        <v>118</v>
      </c>
      <c r="M10" s="2635" t="s">
        <v>118</v>
      </c>
      <c r="N10" s="2637" t="s">
        <v>91</v>
      </c>
      <c r="O10" s="2637" t="s">
        <v>93</v>
      </c>
    </row>
    <row r="11" ht="18.75" customHeight="1">
      <c r="A11" s="813"/>
      <c r="B11" s="2638" t="s">
        <v>214</v>
      </c>
      <c r="C11" s="2639" t="s">
        <v>1376</v>
      </c>
      <c r="D11" s="2635" t="s">
        <v>92</v>
      </c>
      <c r="E11" s="2635" t="s">
        <v>91</v>
      </c>
      <c r="F11" s="2635" t="s">
        <v>91</v>
      </c>
      <c r="G11" s="2635" t="s">
        <v>91</v>
      </c>
      <c r="H11" s="2635" t="s">
        <v>91</v>
      </c>
      <c r="I11" s="2635" t="s">
        <v>91</v>
      </c>
      <c r="J11" s="2635" t="s">
        <v>91</v>
      </c>
      <c r="K11" s="2635" t="s">
        <v>91</v>
      </c>
      <c r="L11" s="2635" t="s">
        <v>91</v>
      </c>
      <c r="M11" s="2635" t="s">
        <v>91</v>
      </c>
      <c r="N11" s="2635" t="s">
        <v>91</v>
      </c>
      <c r="O11" s="2635" t="s">
        <v>93</v>
      </c>
    </row>
    <row r="12" ht="18.75" customHeight="1">
      <c r="A12" s="968"/>
      <c r="B12" s="2640" t="s">
        <v>255</v>
      </c>
      <c r="C12" s="2641" t="s">
        <v>235</v>
      </c>
      <c r="D12" s="2635" t="s">
        <v>91</v>
      </c>
      <c r="E12" s="2635" t="s">
        <v>91</v>
      </c>
      <c r="F12" s="2635" t="s">
        <v>91</v>
      </c>
      <c r="G12" s="2635" t="s">
        <v>117</v>
      </c>
      <c r="H12" s="2635" t="s">
        <v>91</v>
      </c>
      <c r="I12" s="2635" t="s">
        <v>91</v>
      </c>
      <c r="J12" s="2635" t="s">
        <v>91</v>
      </c>
      <c r="K12" s="2635" t="s">
        <v>91</v>
      </c>
      <c r="L12" s="2635" t="s">
        <v>91</v>
      </c>
      <c r="M12" s="2635" t="s">
        <v>91</v>
      </c>
      <c r="N12" s="2635" t="s">
        <v>91</v>
      </c>
      <c r="O12" s="2635" t="s">
        <v>93</v>
      </c>
    </row>
    <row r="13" ht="7.5" customHeight="1">
      <c r="A13" s="2642"/>
      <c r="B13" s="2643"/>
      <c r="C13" s="2644"/>
      <c r="D13" s="2645" t="str">
        <f t="shared" ref="D13:O13" si="1">LINKURL(D7)</f>
        <v>https://www.reddit.com/r/RMTK/comments/c26kl0/w0025_koepelwet_kerncentrales/</v>
      </c>
      <c r="E13" s="2646" t="str">
        <f t="shared" si="1"/>
        <v>https://www.reddit.com/r/RMTK/comments/c4pqxl/w0027_wetswijziging_tot_verbieden_discriminatie/</v>
      </c>
      <c r="F13" s="2646" t="str">
        <f t="shared" si="1"/>
        <v>https://www.reddit.com/r/RMTK/comments/c8rc1h/w0028_wetswijziging_tot_aanvulling_op_de_wet/</v>
      </c>
      <c r="G13" s="2646" t="str">
        <f t="shared" si="1"/>
        <v>https://www.reddit.com/r/RMTK/comments/cbidty/w0029_wijziging_van_het_burgerlijk_wetboek_boek_1/</v>
      </c>
      <c r="H13" s="2646" t="str">
        <f t="shared" si="1"/>
        <v>https://www.reddit.com/r/RMTK/comments/cee57r/w0025_tweede_lezingkoepelwet_kerncentrales/</v>
      </c>
      <c r="I13" s="2646" t="str">
        <f t="shared" si="1"/>
        <v>https://www.reddit.com/r/RMTK/comments/cedsei/w0030_wijziging_van_het_burgerlijk_wetboek_boek_1/</v>
      </c>
      <c r="J13" s="2645" t="str">
        <f t="shared" si="1"/>
        <v>https://www.reddit.com/r/RMTK/comments/cev17r/w0031_hernieuwde_klimaatwet_2019/</v>
      </c>
      <c r="K13" s="2646" t="str">
        <f t="shared" si="1"/>
        <v>https://www.reddit.com/r/RMTK/comments/cgethq/wetsvoorstel_tot_budgettaire_begroting/</v>
      </c>
      <c r="L13" s="2647" t="str">
        <f t="shared" si="1"/>
        <v>https://www.reddit.com/r/RMTK/comments/ch9l69/w0033_wet_erkenning_recht_op_voltooid_leven/</v>
      </c>
      <c r="M13" s="2648" t="str">
        <f t="shared" si="1"/>
        <v>https://www.reddit.com/r/RMTK/comments/cwp79y/w0036_wet_ter_erkenning_van_de_nederlandse/</v>
      </c>
      <c r="N13" s="2648" t="str">
        <f t="shared" si="1"/>
        <v>https://www.reddit.com/r/RMTK/comments/cyt6r7/w0038_wetsvoorstel_tot_wijziging_van_de_wet_op_de/</v>
      </c>
      <c r="O13" s="2649" t="str">
        <f t="shared" si="1"/>
        <v/>
      </c>
    </row>
    <row r="14" ht="18.75" customHeight="1">
      <c r="A14" s="2632" t="s">
        <v>1736</v>
      </c>
      <c r="B14" s="2650" t="s">
        <v>243</v>
      </c>
      <c r="C14" s="2651" t="s">
        <v>1167</v>
      </c>
      <c r="D14" s="2635" t="s">
        <v>93</v>
      </c>
      <c r="E14" s="2635" t="s">
        <v>93</v>
      </c>
      <c r="F14" s="2635" t="s">
        <v>91</v>
      </c>
      <c r="G14" s="2635" t="s">
        <v>93</v>
      </c>
      <c r="H14" s="2635" t="s">
        <v>93</v>
      </c>
      <c r="I14" s="2635" t="s">
        <v>93</v>
      </c>
      <c r="J14" s="2635" t="s">
        <v>93</v>
      </c>
      <c r="K14" s="2635" t="s">
        <v>91</v>
      </c>
      <c r="L14" s="2635" t="s">
        <v>93</v>
      </c>
      <c r="M14" s="2635" t="s">
        <v>93</v>
      </c>
      <c r="N14" s="2635" t="s">
        <v>93</v>
      </c>
      <c r="O14" s="2635" t="s">
        <v>93</v>
      </c>
    </row>
    <row r="15" ht="18.75" customHeight="1">
      <c r="A15" s="813"/>
      <c r="C15" s="2652" t="s">
        <v>252</v>
      </c>
      <c r="D15" s="2635" t="s">
        <v>92</v>
      </c>
      <c r="E15" s="2635" t="s">
        <v>91</v>
      </c>
      <c r="F15" s="2635" t="s">
        <v>118</v>
      </c>
      <c r="G15" s="2635" t="s">
        <v>118</v>
      </c>
      <c r="H15" s="2635" t="s">
        <v>118</v>
      </c>
      <c r="I15" s="2635" t="s">
        <v>118</v>
      </c>
      <c r="J15" s="2635" t="s">
        <v>118</v>
      </c>
      <c r="K15" s="2635" t="s">
        <v>118</v>
      </c>
      <c r="L15" s="2635" t="s">
        <v>118</v>
      </c>
      <c r="M15" s="2635" t="s">
        <v>118</v>
      </c>
      <c r="N15" s="2635" t="s">
        <v>118</v>
      </c>
      <c r="O15" s="2635" t="s">
        <v>118</v>
      </c>
    </row>
    <row r="16" ht="18.75" customHeight="1">
      <c r="A16" s="813"/>
      <c r="C16" s="2652" t="s">
        <v>326</v>
      </c>
      <c r="D16" s="2635" t="s">
        <v>118</v>
      </c>
      <c r="E16" s="2523" t="s">
        <v>118</v>
      </c>
      <c r="F16" s="2635" t="s">
        <v>91</v>
      </c>
      <c r="G16" s="2635" t="s">
        <v>92</v>
      </c>
      <c r="H16" s="2635" t="s">
        <v>91</v>
      </c>
      <c r="I16" s="2635" t="s">
        <v>91</v>
      </c>
      <c r="J16" s="2635" t="s">
        <v>91</v>
      </c>
      <c r="K16" s="2635" t="s">
        <v>91</v>
      </c>
      <c r="L16" s="2635" t="s">
        <v>93</v>
      </c>
      <c r="M16" s="2635" t="s">
        <v>118</v>
      </c>
      <c r="N16" s="2635" t="s">
        <v>118</v>
      </c>
      <c r="O16" s="2635" t="s">
        <v>118</v>
      </c>
    </row>
    <row r="17" ht="18.75" customHeight="1">
      <c r="A17" s="813"/>
      <c r="B17" s="131"/>
      <c r="C17" s="2653" t="s">
        <v>206</v>
      </c>
      <c r="D17" s="2635" t="s">
        <v>118</v>
      </c>
      <c r="E17" s="2635" t="s">
        <v>118</v>
      </c>
      <c r="F17" s="2635" t="s">
        <v>118</v>
      </c>
      <c r="G17" s="2635" t="s">
        <v>118</v>
      </c>
      <c r="H17" s="2635" t="s">
        <v>118</v>
      </c>
      <c r="I17" s="2635" t="s">
        <v>118</v>
      </c>
      <c r="J17" s="2635" t="s">
        <v>118</v>
      </c>
      <c r="K17" s="2635" t="s">
        <v>118</v>
      </c>
      <c r="L17" s="2635" t="s">
        <v>118</v>
      </c>
      <c r="M17" s="2637" t="s">
        <v>91</v>
      </c>
      <c r="N17" s="2637" t="s">
        <v>91</v>
      </c>
      <c r="O17" s="2637" t="s">
        <v>93</v>
      </c>
    </row>
    <row r="18" ht="18.75" customHeight="1">
      <c r="A18" s="813"/>
      <c r="B18" s="2654" t="s">
        <v>1303</v>
      </c>
      <c r="C18" s="2655" t="s">
        <v>1304</v>
      </c>
      <c r="D18" s="2635" t="s">
        <v>93</v>
      </c>
      <c r="E18" s="2635" t="s">
        <v>93</v>
      </c>
      <c r="F18" s="2635" t="s">
        <v>93</v>
      </c>
      <c r="G18" s="2635" t="s">
        <v>92</v>
      </c>
      <c r="H18" s="2635" t="s">
        <v>118</v>
      </c>
      <c r="I18" s="2635" t="s">
        <v>118</v>
      </c>
      <c r="J18" s="2635" t="s">
        <v>118</v>
      </c>
      <c r="K18" s="2635" t="s">
        <v>118</v>
      </c>
      <c r="L18" s="2635" t="s">
        <v>118</v>
      </c>
      <c r="M18" s="2635" t="s">
        <v>118</v>
      </c>
      <c r="N18" s="2635" t="s">
        <v>118</v>
      </c>
      <c r="O18" s="2635" t="s">
        <v>118</v>
      </c>
    </row>
    <row r="19" ht="18.75" customHeight="1">
      <c r="A19" s="968"/>
      <c r="B19" s="131"/>
      <c r="C19" s="2656" t="s">
        <v>116</v>
      </c>
      <c r="D19" s="2635" t="s">
        <v>118</v>
      </c>
      <c r="E19" s="2635" t="s">
        <v>118</v>
      </c>
      <c r="F19" s="2635" t="s">
        <v>118</v>
      </c>
      <c r="G19" s="2635" t="s">
        <v>118</v>
      </c>
      <c r="H19" s="2635" t="s">
        <v>91</v>
      </c>
      <c r="I19" s="2635" t="s">
        <v>91</v>
      </c>
      <c r="J19" s="2635" t="s">
        <v>91</v>
      </c>
      <c r="K19" s="2635" t="s">
        <v>91</v>
      </c>
      <c r="L19" s="2635" t="s">
        <v>91</v>
      </c>
      <c r="M19" s="2635" t="s">
        <v>91</v>
      </c>
      <c r="N19" s="2635" t="s">
        <v>91</v>
      </c>
      <c r="O19" s="2635" t="s">
        <v>93</v>
      </c>
    </row>
    <row r="20" ht="12.0" customHeight="1">
      <c r="A20" s="2657"/>
      <c r="B20" s="2577"/>
      <c r="C20" s="2658"/>
      <c r="D20" s="2253" t="str">
        <f t="shared" ref="D20:O20" si="2">CONCATENATE("{""status"": ", IF(GT(D21, D22), """aangenomen""", """verworpen"""), ", ""title"": """, D7, """, ""url"": """,D13  , """, ""voor"":", D21,", ""tegen"": ", D22, ", ""onthouden"":", D23, "}")</f>
        <v>{"status": "verworpen", "title": "W0025", "url": "https://www.reddit.com/r/RMTK/comments/c26kl0/w0025_koepelwet_kerncentrales/", "voor":2, "tegen": 2, "onthouden":0}</v>
      </c>
      <c r="E20" s="2253" t="str">
        <f t="shared" si="2"/>
        <v>{"status": "aangenomen", "title": "W0027", "url": "https://www.reddit.com/r/RMTK/comments/c4pqxl/w0027_wetswijziging_tot_verbieden_discriminatie/", "voor":4, "tegen": 0, "onthouden":0}</v>
      </c>
      <c r="F20" s="2253" t="str">
        <f t="shared" si="2"/>
        <v>{"status": "aangenomen", "title": "W0028", "url": "https://www.reddit.com/r/RMTK/comments/c8rc1h/w0028_wetswijziging_tot_aanvulling_op_de_wet/", "voor":5, "tegen": 0, "onthouden":0}</v>
      </c>
      <c r="G20" s="2253" t="str">
        <f t="shared" si="2"/>
        <v>{"status": "verworpen", "title": "W0029", "url": "https://www.reddit.com/r/RMTK/comments/cbidty/w0029_wijziging_van_het_burgerlijk_wetboek_boek_1/", "voor":2, "tegen": 2, "onthouden":1}</v>
      </c>
      <c r="H20" s="2659" t="str">
        <f t="shared" si="2"/>
        <v>{"status": "aangenomen", "title": "W0025", "url": "https://www.reddit.com/r/RMTK/comments/cee57r/w0025_tweede_lezingkoepelwet_kerncentrales/", "voor":5, "tegen": 0, "onthouden":0}</v>
      </c>
      <c r="I20" s="2659" t="str">
        <f t="shared" si="2"/>
        <v>{"status": "aangenomen", "title": "W0030", "url": "https://www.reddit.com/r/RMTK/comments/cedsei/w0030_wijziging_van_het_burgerlijk_wetboek_boek_1/", "voor":5, "tegen": 0, "onthouden":0}</v>
      </c>
      <c r="J20" s="2659" t="str">
        <f t="shared" si="2"/>
        <v>{"status": "aangenomen", "title": "W0031", "url": "https://www.reddit.com/r/RMTK/comments/cev17r/w0031_hernieuwde_klimaatwet_2019/", "voor":5, "tegen": 0, "onthouden":0}</v>
      </c>
      <c r="K20" s="2659" t="str">
        <f t="shared" si="2"/>
        <v>{"status": "aangenomen", "title": "W0032", "url": "https://www.reddit.com/r/RMTK/comments/cgethq/wetsvoorstel_tot_budgettaire_begroting/", "voor":6, "tegen": 0, "onthouden":0}</v>
      </c>
      <c r="L20" s="2659" t="str">
        <f t="shared" si="2"/>
        <v>{"status": "aangenomen", "title": "W0033", "url": "https://www.reddit.com/r/RMTK/comments/ch9l69/w0033_wet_erkenning_recht_op_voltooid_leven/", "voor":3, "tegen": 1, "onthouden":0}</v>
      </c>
      <c r="M20" s="2659" t="str">
        <f t="shared" si="2"/>
        <v>{"status": "aangenomen", "title": "W0036", "url": "https://www.reddit.com/r/RMTK/comments/cwp79y/w0036_wet_ter_erkenning_van_de_nederlandse/", "voor":5, "tegen": 0, "onthouden":0}</v>
      </c>
      <c r="N20" s="2659" t="str">
        <f t="shared" si="2"/>
        <v>{"status": "aangenomen", "title": "W0038", "url": "https://www.reddit.com/r/RMTK/comments/cyt6r7/w0038_wetsvoorstel_tot_wijziging_van_de_wet_op_de/", "voor":5, "tegen": 0, "onthouden":0}</v>
      </c>
      <c r="O20" s="2659" t="str">
        <f t="shared" si="2"/>
        <v>{"status": "verworpen", "title": "", "url": "", "voor":0, "tegen": 0, "onthouden":0}</v>
      </c>
    </row>
    <row r="21" ht="18.75" customHeight="1">
      <c r="A21" s="2660" t="s">
        <v>119</v>
      </c>
      <c r="B21" s="2661" t="s">
        <v>91</v>
      </c>
      <c r="D21" s="2662">
        <f t="shared" ref="D21:O21" si="3">COUNTIF(D6:D19,"Voor")</f>
        <v>2</v>
      </c>
      <c r="E21" s="2662">
        <f t="shared" si="3"/>
        <v>4</v>
      </c>
      <c r="F21" s="2662">
        <f t="shared" si="3"/>
        <v>5</v>
      </c>
      <c r="G21" s="2662">
        <f t="shared" si="3"/>
        <v>2</v>
      </c>
      <c r="H21" s="2662">
        <f t="shared" si="3"/>
        <v>5</v>
      </c>
      <c r="I21" s="2662">
        <f t="shared" si="3"/>
        <v>5</v>
      </c>
      <c r="J21" s="2662">
        <f t="shared" si="3"/>
        <v>5</v>
      </c>
      <c r="K21" s="2662">
        <f t="shared" si="3"/>
        <v>6</v>
      </c>
      <c r="L21" s="2662">
        <f t="shared" si="3"/>
        <v>3</v>
      </c>
      <c r="M21" s="2662">
        <f t="shared" si="3"/>
        <v>5</v>
      </c>
      <c r="N21" s="2662">
        <f t="shared" si="3"/>
        <v>5</v>
      </c>
      <c r="O21" s="2662">
        <f t="shared" si="3"/>
        <v>0</v>
      </c>
    </row>
    <row r="22" ht="18.75" customHeight="1">
      <c r="B22" s="2663" t="s">
        <v>92</v>
      </c>
      <c r="D22" s="2664">
        <f t="shared" ref="D22:O22" si="4">COUNTIF(D6:D19,"Tegen")</f>
        <v>2</v>
      </c>
      <c r="E22" s="2664">
        <f t="shared" si="4"/>
        <v>0</v>
      </c>
      <c r="F22" s="2664">
        <f t="shared" si="4"/>
        <v>0</v>
      </c>
      <c r="G22" s="2664">
        <f t="shared" si="4"/>
        <v>2</v>
      </c>
      <c r="H22" s="2664">
        <f t="shared" si="4"/>
        <v>0</v>
      </c>
      <c r="I22" s="2664">
        <f t="shared" si="4"/>
        <v>0</v>
      </c>
      <c r="J22" s="2664">
        <f t="shared" si="4"/>
        <v>0</v>
      </c>
      <c r="K22" s="2664">
        <f t="shared" si="4"/>
        <v>0</v>
      </c>
      <c r="L22" s="2664">
        <f t="shared" si="4"/>
        <v>1</v>
      </c>
      <c r="M22" s="2664">
        <f t="shared" si="4"/>
        <v>0</v>
      </c>
      <c r="N22" s="2664">
        <f t="shared" si="4"/>
        <v>0</v>
      </c>
      <c r="O22" s="2664">
        <f t="shared" si="4"/>
        <v>0</v>
      </c>
    </row>
    <row r="23" ht="18.75" customHeight="1">
      <c r="B23" s="2665" t="s">
        <v>120</v>
      </c>
      <c r="D23" s="2666">
        <f t="shared" ref="D23:O23" si="5">COUNTIF(D6:D19,"SO")</f>
        <v>0</v>
      </c>
      <c r="E23" s="2666">
        <f t="shared" si="5"/>
        <v>0</v>
      </c>
      <c r="F23" s="2666">
        <f t="shared" si="5"/>
        <v>0</v>
      </c>
      <c r="G23" s="2666">
        <f t="shared" si="5"/>
        <v>1</v>
      </c>
      <c r="H23" s="2666">
        <f t="shared" si="5"/>
        <v>0</v>
      </c>
      <c r="I23" s="2666">
        <f t="shared" si="5"/>
        <v>0</v>
      </c>
      <c r="J23" s="2666">
        <f t="shared" si="5"/>
        <v>0</v>
      </c>
      <c r="K23" s="2666">
        <f t="shared" si="5"/>
        <v>0</v>
      </c>
      <c r="L23" s="2666">
        <f t="shared" si="5"/>
        <v>0</v>
      </c>
      <c r="M23" s="2666">
        <f t="shared" si="5"/>
        <v>0</v>
      </c>
      <c r="N23" s="2666">
        <f t="shared" si="5"/>
        <v>0</v>
      </c>
      <c r="O23" s="2666">
        <f t="shared" si="5"/>
        <v>0</v>
      </c>
    </row>
    <row r="24" ht="18.75" customHeight="1">
      <c r="B24" s="2667" t="s">
        <v>121</v>
      </c>
      <c r="D24" s="2668">
        <f t="shared" ref="D24:O24" si="6">COUNTIF(D6:D19,"NG")</f>
        <v>2</v>
      </c>
      <c r="E24" s="2668">
        <f t="shared" si="6"/>
        <v>2</v>
      </c>
      <c r="F24" s="2668">
        <f t="shared" si="6"/>
        <v>1</v>
      </c>
      <c r="G24" s="2668">
        <f t="shared" si="6"/>
        <v>1</v>
      </c>
      <c r="H24" s="2668">
        <f t="shared" si="6"/>
        <v>1</v>
      </c>
      <c r="I24" s="2668">
        <f t="shared" si="6"/>
        <v>1</v>
      </c>
      <c r="J24" s="2668">
        <f t="shared" si="6"/>
        <v>1</v>
      </c>
      <c r="K24" s="2668">
        <f t="shared" si="6"/>
        <v>0</v>
      </c>
      <c r="L24" s="2668">
        <f t="shared" si="6"/>
        <v>2</v>
      </c>
      <c r="M24" s="2668">
        <f t="shared" si="6"/>
        <v>1</v>
      </c>
      <c r="N24" s="2668">
        <f t="shared" si="6"/>
        <v>1</v>
      </c>
      <c r="O24" s="2668">
        <f t="shared" si="6"/>
        <v>6</v>
      </c>
    </row>
    <row r="25" ht="18.75" customHeight="1">
      <c r="B25" s="2669" t="s">
        <v>122</v>
      </c>
      <c r="D25" s="2670">
        <f t="shared" ref="D25:O25" si="7">SUM(D21:D24)</f>
        <v>6</v>
      </c>
      <c r="E25" s="2670">
        <f t="shared" si="7"/>
        <v>6</v>
      </c>
      <c r="F25" s="2670">
        <f t="shared" si="7"/>
        <v>6</v>
      </c>
      <c r="G25" s="2670">
        <f t="shared" si="7"/>
        <v>6</v>
      </c>
      <c r="H25" s="2670">
        <f t="shared" si="7"/>
        <v>6</v>
      </c>
      <c r="I25" s="2670">
        <f t="shared" si="7"/>
        <v>6</v>
      </c>
      <c r="J25" s="2670">
        <f t="shared" si="7"/>
        <v>6</v>
      </c>
      <c r="K25" s="2670">
        <f t="shared" si="7"/>
        <v>6</v>
      </c>
      <c r="L25" s="2670">
        <f t="shared" si="7"/>
        <v>6</v>
      </c>
      <c r="M25" s="2670">
        <f t="shared" si="7"/>
        <v>6</v>
      </c>
      <c r="N25" s="2670">
        <f t="shared" si="7"/>
        <v>6</v>
      </c>
      <c r="O25" s="2670">
        <f t="shared" si="7"/>
        <v>6</v>
      </c>
    </row>
    <row r="26" ht="18.75" customHeight="1">
      <c r="B26" s="2671" t="s">
        <v>124</v>
      </c>
      <c r="D26" s="2672">
        <f t="shared" ref="D26:O26" si="8">D21+D22+D23</f>
        <v>4</v>
      </c>
      <c r="E26" s="2672">
        <f t="shared" si="8"/>
        <v>4</v>
      </c>
      <c r="F26" s="2672">
        <f t="shared" si="8"/>
        <v>5</v>
      </c>
      <c r="G26" s="2672">
        <f t="shared" si="8"/>
        <v>5</v>
      </c>
      <c r="H26" s="2672">
        <f t="shared" si="8"/>
        <v>5</v>
      </c>
      <c r="I26" s="2672">
        <f t="shared" si="8"/>
        <v>5</v>
      </c>
      <c r="J26" s="2672">
        <f t="shared" si="8"/>
        <v>5</v>
      </c>
      <c r="K26" s="2672">
        <f t="shared" si="8"/>
        <v>6</v>
      </c>
      <c r="L26" s="2672">
        <f t="shared" si="8"/>
        <v>4</v>
      </c>
      <c r="M26" s="2672">
        <f t="shared" si="8"/>
        <v>5</v>
      </c>
      <c r="N26" s="2672">
        <f t="shared" si="8"/>
        <v>5</v>
      </c>
      <c r="O26" s="2672">
        <f t="shared" si="8"/>
        <v>0</v>
      </c>
    </row>
    <row r="27" ht="18.75" customHeight="1">
      <c r="B27" s="2673" t="s">
        <v>125</v>
      </c>
      <c r="C27" s="131"/>
      <c r="D27" s="2674">
        <f t="shared" ref="D27:O27" si="9">IFERROR(D26/D25,"")</f>
        <v>0.6666666667</v>
      </c>
      <c r="E27" s="2674">
        <f t="shared" si="9"/>
        <v>0.6666666667</v>
      </c>
      <c r="F27" s="2674">
        <f t="shared" si="9"/>
        <v>0.8333333333</v>
      </c>
      <c r="G27" s="2674">
        <f t="shared" si="9"/>
        <v>0.8333333333</v>
      </c>
      <c r="H27" s="2674">
        <f t="shared" si="9"/>
        <v>0.8333333333</v>
      </c>
      <c r="I27" s="2674">
        <f t="shared" si="9"/>
        <v>0.8333333333</v>
      </c>
      <c r="J27" s="2674">
        <f t="shared" si="9"/>
        <v>0.8333333333</v>
      </c>
      <c r="K27" s="2674">
        <f t="shared" si="9"/>
        <v>1</v>
      </c>
      <c r="L27" s="2674">
        <f t="shared" si="9"/>
        <v>0.6666666667</v>
      </c>
      <c r="M27" s="2674">
        <f t="shared" si="9"/>
        <v>0.8333333333</v>
      </c>
      <c r="N27" s="2674">
        <f t="shared" si="9"/>
        <v>0.8333333333</v>
      </c>
      <c r="O27" s="2674">
        <f t="shared" si="9"/>
        <v>0</v>
      </c>
    </row>
    <row r="28" ht="18.75" customHeight="1">
      <c r="A28" s="2624"/>
      <c r="B28" s="2624"/>
      <c r="C28" s="2624"/>
      <c r="D28" s="1438"/>
      <c r="E28" s="1438"/>
      <c r="F28" s="1438"/>
      <c r="G28" s="1438"/>
      <c r="H28" s="1438"/>
      <c r="I28" s="1438"/>
      <c r="J28" s="1438"/>
      <c r="K28" s="1438"/>
      <c r="L28" s="1438"/>
      <c r="M28" s="1438"/>
      <c r="N28" s="1438"/>
      <c r="O28" s="1438"/>
    </row>
    <row r="29" ht="18.75" customHeight="1">
      <c r="A29" s="1438"/>
      <c r="B29" s="1438"/>
      <c r="C29" s="1438"/>
      <c r="D29" s="1438"/>
      <c r="E29" s="1438"/>
      <c r="F29" s="1438"/>
      <c r="G29" s="1438"/>
      <c r="H29" s="1438"/>
      <c r="I29" s="1438"/>
      <c r="J29" s="1438"/>
      <c r="K29" s="1438"/>
      <c r="L29" s="1438"/>
      <c r="M29" s="1438"/>
      <c r="N29" s="1438"/>
      <c r="O29" s="1438"/>
    </row>
  </sheetData>
  <mergeCells count="18">
    <mergeCell ref="A2:C2"/>
    <mergeCell ref="D2:O2"/>
    <mergeCell ref="A4:C4"/>
    <mergeCell ref="D4:O6"/>
    <mergeCell ref="A5:C6"/>
    <mergeCell ref="A9:A12"/>
    <mergeCell ref="B9:B10"/>
    <mergeCell ref="B24:C24"/>
    <mergeCell ref="B25:C25"/>
    <mergeCell ref="B26:C26"/>
    <mergeCell ref="B27:C27"/>
    <mergeCell ref="A14:A19"/>
    <mergeCell ref="B14:B17"/>
    <mergeCell ref="B18:B19"/>
    <mergeCell ref="A21:A27"/>
    <mergeCell ref="B21:C21"/>
    <mergeCell ref="B22:C22"/>
    <mergeCell ref="B23:C23"/>
  </mergeCells>
  <conditionalFormatting sqref="N9:O10 D10:M10 M15:M19 D16:D17 G16:L19 N16:O19 E17:F17 D19:F19">
    <cfRule type="containsText" dxfId="3" priority="1" operator="containsText" text="tegen">
      <formula>NOT(ISERROR(SEARCH(("tegen"),(N9))))</formula>
    </cfRule>
  </conditionalFormatting>
  <conditionalFormatting sqref="N9:O10 D10:M10 F15:F17 G15:O19 D16:E17 D19:F19">
    <cfRule type="cellIs" dxfId="5" priority="2" operator="equal">
      <formula>"NG"</formula>
    </cfRule>
  </conditionalFormatting>
  <conditionalFormatting sqref="D9:O12 B11:C11 D14:O19">
    <cfRule type="containsText" dxfId="4" priority="3" operator="containsText" text="voor">
      <formula>NOT(ISERROR(SEARCH(("voor"),(D9))))</formula>
    </cfRule>
  </conditionalFormatting>
  <conditionalFormatting sqref="D9:D19 E9:I12 J9:J19 K9:O12 B11:C11 E14:I19 K14:O19">
    <cfRule type="containsText" dxfId="2" priority="4" operator="containsText" text="SO">
      <formula>NOT(ISERROR(SEARCH(("SO"),(D9))))</formula>
    </cfRule>
  </conditionalFormatting>
  <conditionalFormatting sqref="D13 J13">
    <cfRule type="containsText" dxfId="36" priority="5" operator="containsText" text="voor">
      <formula>NOT(ISERROR(SEARCH(("voor"),(D13))))</formula>
    </cfRule>
  </conditionalFormatting>
  <conditionalFormatting sqref="D9:D19 E9:I12 J9:J19 K9:O12 B11:C11 E14:I19 K14:O19">
    <cfRule type="containsText" dxfId="5" priority="6" operator="containsText" text="NG">
      <formula>NOT(ISERROR(SEARCH(("NG"),(D9))))</formula>
    </cfRule>
  </conditionalFormatting>
  <conditionalFormatting sqref="D9:D19 E9:I12 J9:J19 K9:O12 B11:C11 E14:I19 K14:O19">
    <cfRule type="containsText" dxfId="6" priority="7" operator="containsText" text="NVT">
      <formula>NOT(ISERROR(SEARCH(("NVT"),(D9))))</formula>
    </cfRule>
  </conditionalFormatting>
  <conditionalFormatting sqref="A1:O3 G8:I12 J8:J19 K8:O12 D9:F12 B11:C11 E14:I19 K14:O19 D16:D17 D19 D21:F29 G21:O28 A28:C28">
    <cfRule type="containsText" dxfId="27" priority="8" operator="containsText" text="SO">
      <formula>NOT(ISERROR(SEARCH(("SO"),(A1))))</formula>
    </cfRule>
  </conditionalFormatting>
  <conditionalFormatting sqref="A1:O3 G8:I12 J8:J19 K8:O12 D9:F12 B11:C11 E14:I19 K14:O19 D16:D17 D19 D21:F29 G21:O28 A28:C28">
    <cfRule type="containsText" dxfId="28" priority="9" operator="containsText" text="N.v.t.">
      <formula>NOT(ISERROR(SEARCH(("N.v.t."),(A1))))</formula>
    </cfRule>
  </conditionalFormatting>
  <conditionalFormatting sqref="A1:O3 G8:I12 J8:J19 K8:O12 D9:F12 B11:C11 E14:I19 K14:O19 D16:D17 D19 D21:F29 G21:O28 A28:C28">
    <cfRule type="containsText" dxfId="29" priority="10" operator="containsText" text="Voor">
      <formula>NOT(ISERROR(SEARCH(("Voor"),(A1))))</formula>
    </cfRule>
  </conditionalFormatting>
  <conditionalFormatting sqref="A1:O3 G8:I12 J8:J19 K8:O12 D9:F12 B11:C11 E14:I19 K14:O19 D16:D17 D19 D21:F29 G21:O28 A28:C28">
    <cfRule type="containsText" dxfId="30" priority="11" operator="containsText" text="Tegen">
      <formula>NOT(ISERROR(SEARCH(("Tegen"),(A1))))</formula>
    </cfRule>
  </conditionalFormatting>
  <conditionalFormatting sqref="A1:O3 G8:I12 J8:J19 K8:O12 D9:F12 B11:C11 E14:I19 K14:O19 D16:D17 D19 D21:F29 G21:O28 A28:C28">
    <cfRule type="containsText" dxfId="31" priority="12" operator="containsText" text="N.v.t.">
      <formula>NOT(ISERROR(SEARCH(("N.v.t."),(A1))))</formula>
    </cfRule>
  </conditionalFormatting>
  <conditionalFormatting sqref="A1:O3 G8:I12 J8:J19 K8:O12 D9:F12 B11:C11 E14:I19 K14:O19 D16:D17 D19 D21:F29 G21:O28 A28:C28">
    <cfRule type="cellIs" dxfId="27" priority="13" operator="equal">
      <formula>"SO"</formula>
    </cfRule>
  </conditionalFormatting>
  <conditionalFormatting sqref="A1:O3 G8:I12 J8:J19 K8:O12 D9:F12 B11:C11 E14:I19 K14:O19 D16:D17 D19 D21:F29 G21:O28 A28:C28">
    <cfRule type="cellIs" dxfId="32" priority="14" operator="equal">
      <formula>"NG"</formula>
    </cfRule>
  </conditionalFormatting>
  <conditionalFormatting sqref="A1:A5 B1:C4 D1:O6 A7:A8 B7:C11 D8:D19 E8:I12 J8:J19 K8:O12 A13 B13:C14 E14:I19 K14:O19 A20:C28 D21:F29 G21:O28">
    <cfRule type="containsText" dxfId="0" priority="15" operator="containsText" text="voor">
      <formula>NOT(ISERROR(SEARCH(("voor"),(A1))))</formula>
    </cfRule>
  </conditionalFormatting>
  <conditionalFormatting sqref="A1:A5 B1:C4 D1:O6 A7:A8 B7:C11 D8:D19 E8:I12 J8:J19 K8:O12 A13 B13:C14 E14:I19 K14:O19 A20:C28 D21:F29 G21:O28">
    <cfRule type="containsText" dxfId="1" priority="16" operator="containsText" text="tegen">
      <formula>NOT(ISERROR(SEARCH(("tegen"),(A1))))</formula>
    </cfRule>
  </conditionalFormatting>
  <conditionalFormatting sqref="A1:C3 D1:O6 D8:D19 E8:I12 J8:J19 K8:O12 B11:C11 E14:I19 K14:O19 D21:F29 G21:O28 A28:C28">
    <cfRule type="containsText" dxfId="33" priority="17" operator="containsText" text="SO">
      <formula>NOT(ISERROR(SEARCH(("SO"),(A1))))</formula>
    </cfRule>
  </conditionalFormatting>
  <conditionalFormatting sqref="A1:C3 D1:O6 D8:D19 E8:I12 J8:J19 K8:O12 B11:C11 E14:I19 K14:O19 D21:F29 G21:O28 A28:C28">
    <cfRule type="containsText" dxfId="34" priority="18" operator="containsText" text="NG">
      <formula>NOT(ISERROR(SEARCH(("NG"),(A1))))</formula>
    </cfRule>
  </conditionalFormatting>
  <drawing r:id="rId1"/>
</worksheet>
</file>

<file path=xl/worksheets/sheet2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5B0F00"/>
    <outlinePr summaryBelow="0" summaryRight="0"/>
  </sheetPr>
  <sheetViews>
    <sheetView workbookViewId="0">
      <pane xSplit="3.0" ySplit="6.0" topLeftCell="D7" activePane="bottomRight" state="frozen"/>
      <selection activeCell="D1" sqref="D1" pane="topRight"/>
      <selection activeCell="A7" sqref="A7" pane="bottomLeft"/>
      <selection activeCell="D7" sqref="D7" pane="bottomRight"/>
    </sheetView>
  </sheetViews>
  <sheetFormatPr customHeight="1" defaultColWidth="14.43" defaultRowHeight="15.75"/>
  <cols>
    <col customWidth="1" min="1" max="1" width="10.86"/>
    <col customWidth="1" min="2" max="2" width="11.0"/>
    <col customWidth="1" min="3" max="3" width="26.29"/>
  </cols>
  <sheetData>
    <row r="1" ht="18.75" customHeight="1">
      <c r="A1" s="2501" t="s">
        <v>126</v>
      </c>
      <c r="B1" s="2502"/>
      <c r="C1" s="2502"/>
      <c r="D1" s="2502"/>
      <c r="E1" s="2502"/>
      <c r="F1" s="2502"/>
      <c r="G1" s="2503"/>
      <c r="H1" s="2503"/>
      <c r="I1" s="2503"/>
      <c r="J1" s="2503"/>
      <c r="K1" s="2503"/>
      <c r="L1" s="2503"/>
      <c r="M1" s="2503"/>
      <c r="N1" s="2503"/>
      <c r="O1" s="2504"/>
      <c r="P1" s="2504"/>
      <c r="Q1" s="2504"/>
      <c r="R1" s="2504"/>
      <c r="S1" s="2504"/>
      <c r="T1" s="2504"/>
      <c r="U1" s="2503"/>
      <c r="V1" s="2503"/>
      <c r="W1" s="2503"/>
      <c r="X1" s="2503"/>
      <c r="Y1" s="2503"/>
      <c r="Z1" s="2503"/>
      <c r="AA1" s="2503"/>
      <c r="AB1" s="2503"/>
      <c r="AC1" s="2503"/>
      <c r="AD1" s="2503"/>
      <c r="AE1" s="2503"/>
      <c r="AF1" s="2503"/>
      <c r="AG1" s="2503"/>
      <c r="AH1" s="2503"/>
      <c r="AI1" s="2503"/>
      <c r="AJ1" s="2503"/>
      <c r="AK1" s="2503"/>
      <c r="AL1" s="2503"/>
    </row>
    <row r="2" ht="18.75" customHeight="1">
      <c r="A2" s="2505" t="s">
        <v>1030</v>
      </c>
      <c r="B2" s="131"/>
      <c r="C2" s="132"/>
      <c r="D2" s="2506" t="s">
        <v>1728</v>
      </c>
      <c r="E2" s="124"/>
      <c r="F2" s="124"/>
      <c r="G2" s="124"/>
      <c r="H2" s="124"/>
      <c r="I2" s="124"/>
      <c r="J2" s="124"/>
      <c r="K2" s="124"/>
      <c r="L2" s="124"/>
      <c r="M2" s="124"/>
      <c r="N2" s="124"/>
      <c r="O2" s="124"/>
      <c r="P2" s="124"/>
      <c r="Q2" s="124"/>
      <c r="R2" s="124"/>
      <c r="S2" s="124"/>
      <c r="T2" s="124"/>
      <c r="U2" s="124"/>
      <c r="V2" s="124"/>
      <c r="W2" s="124"/>
      <c r="X2" s="124"/>
      <c r="Y2" s="124"/>
      <c r="Z2" s="124"/>
      <c r="AA2" s="124"/>
      <c r="AB2" s="124"/>
      <c r="AC2" s="124"/>
      <c r="AD2" s="124"/>
      <c r="AE2" s="124"/>
      <c r="AF2" s="124"/>
      <c r="AG2" s="124"/>
      <c r="AH2" s="124"/>
      <c r="AI2" s="124"/>
      <c r="AJ2" s="124"/>
      <c r="AK2" s="124"/>
      <c r="AL2" s="20"/>
    </row>
    <row r="3" ht="18.75" customHeight="1">
      <c r="A3" s="2675" t="s">
        <v>1946</v>
      </c>
      <c r="C3" s="135"/>
      <c r="D3" s="43"/>
      <c r="AL3" s="44"/>
    </row>
    <row r="4" ht="18.75" customHeight="1">
      <c r="C4" s="135"/>
      <c r="D4" s="26"/>
      <c r="E4" s="330"/>
      <c r="F4" s="330"/>
      <c r="G4" s="330"/>
      <c r="H4" s="330"/>
      <c r="I4" s="330"/>
      <c r="J4" s="330"/>
      <c r="K4" s="330"/>
      <c r="L4" s="330"/>
      <c r="M4" s="330"/>
      <c r="N4" s="330"/>
      <c r="O4" s="330"/>
      <c r="P4" s="330"/>
      <c r="Q4" s="330"/>
      <c r="R4" s="330"/>
      <c r="S4" s="330"/>
      <c r="T4" s="330"/>
      <c r="U4" s="330"/>
      <c r="V4" s="330"/>
      <c r="W4" s="330"/>
      <c r="X4" s="330"/>
      <c r="Y4" s="330"/>
      <c r="Z4" s="330"/>
      <c r="AA4" s="330"/>
      <c r="AB4" s="330"/>
      <c r="AC4" s="330"/>
      <c r="AD4" s="330"/>
      <c r="AE4" s="330"/>
      <c r="AF4" s="330"/>
      <c r="AG4" s="330"/>
      <c r="AH4" s="330"/>
      <c r="AI4" s="330"/>
      <c r="AJ4" s="330"/>
      <c r="AK4" s="330"/>
      <c r="AL4" s="27"/>
    </row>
    <row r="5" ht="18.75" customHeight="1">
      <c r="A5" s="2508" t="s">
        <v>86</v>
      </c>
      <c r="B5" s="2509" t="s">
        <v>87</v>
      </c>
      <c r="C5" s="2510" t="s">
        <v>88</v>
      </c>
      <c r="D5" s="2511" t="str">
        <f>HYPERLINK("https://www.reddit.com/r/RMTK/comments/bldkk7","M0051")</f>
        <v>M0051</v>
      </c>
      <c r="E5" s="2511" t="str">
        <f>HYPERLINK("https://www.reddit.com/r/RMTK/comments/bj9hku","W0018")</f>
        <v>W0018</v>
      </c>
      <c r="F5" s="2511" t="str">
        <f>HYPERLINK("https://www.reddit.com/r/RMTK/comments/bluekl","W0019-I")</f>
        <v>W0019-I</v>
      </c>
      <c r="G5" s="2511" t="str">
        <f>HYPERLINK("https://www.reddit.com/r/RMTK/comments/bo84o0","M0052")</f>
        <v>M0052</v>
      </c>
      <c r="H5" s="2511" t="str">
        <f>HYPERLINK("https://www.reddit.com/r/RMTK/comments/bolxzd","M0053")</f>
        <v>M0053</v>
      </c>
      <c r="I5" s="2511" t="str">
        <f>HYPERLINK("https://www.reddit.com/r/RMTK/comments/bp1yrt","M0054")</f>
        <v>M0054</v>
      </c>
      <c r="J5" s="2511" t="str">
        <f>HYPERLINK("https://www.reddit.com/r/RMTK/comments/bpg279","M0055")</f>
        <v>M0055</v>
      </c>
      <c r="K5" s="2511" t="str">
        <f>HYPERLINK("https://www.reddit.com/r/RMTK/comments/bjlxhu","W0019")</f>
        <v>W0019</v>
      </c>
      <c r="L5" s="2511" t="str">
        <f>HYPERLINK("https://www.reddit.com/r/RMTK/comments/bqyh4h","M0056")</f>
        <v>M0056</v>
      </c>
      <c r="M5" s="2511" t="str">
        <f>HYPERLINK("https://www.reddit.com/r/RMTK/comments/bre7w0","M0057")</f>
        <v>M0057</v>
      </c>
      <c r="N5" s="2511" t="str">
        <f>HYPERLINK("https://www.reddit.com/r/RMTK/comments/bsdur4","M0058")</f>
        <v>M0058</v>
      </c>
      <c r="O5" s="2512" t="str">
        <f>HYPERLINK("https://www.reddit.com/r/RMTK/comments/btpiig","M0059")</f>
        <v>M0059</v>
      </c>
      <c r="P5" s="2512" t="str">
        <f>HYPERLINK("https://www.reddit.com/r/RMTK/comments/bu3gzh","M0060")</f>
        <v>M0060</v>
      </c>
      <c r="Q5" s="2512" t="str">
        <f>HYPERLINK("https://www.reddit.com/r/RMTK/comments/buj9zq","M0061")</f>
        <v>M0061</v>
      </c>
      <c r="R5" s="2512" t="str">
        <f>HYPERLINK("https://www.reddit.com/r/RMTK/comments/buv49l","M0062")</f>
        <v>M0062</v>
      </c>
      <c r="S5" s="2512" t="str">
        <f>HYPERLINK("https://www.reddit.com/r/RMTK/comments/buw274","M0063")</f>
        <v>M0063</v>
      </c>
      <c r="T5" s="2512" t="str">
        <f>HYPERLINK("https://www.reddit.com/r/RMTK/comments/bu3zq8","W0020")</f>
        <v>W0020</v>
      </c>
      <c r="U5" s="2512" t="str">
        <f>HYPERLINK("https://www.reddit.com/r/RMTK/comments/bwsh5f","M0064")</f>
        <v>M0064</v>
      </c>
      <c r="V5" s="2512" t="str">
        <f>HYPERLINK("https://www.reddit.com/r/RMTK/comments/bx5ji9","M0065")</f>
        <v>M0065</v>
      </c>
      <c r="W5" s="2512" t="str">
        <f>HYPERLINK("https://www.reddit.com/r/RMTK/comments/bxlc67","M0066")</f>
        <v>M0066</v>
      </c>
      <c r="X5" s="2512" t="str">
        <f>HYPERLINK("https://www.reddit.com/r/RMTK/comments/bwf39d","W0021")</f>
        <v>W0021</v>
      </c>
      <c r="Y5" s="2512" t="str">
        <f>HYPERLINK("https://www.reddit.com/r/RMTK/comments/bwr7df","W0022")</f>
        <v>W0022</v>
      </c>
      <c r="Z5" s="2512" t="str">
        <f>HYPERLINK("https://www.reddit.com/r/RMTK/comments/bz0k2u","M0068")</f>
        <v>M0068</v>
      </c>
      <c r="AA5" s="2512" t="str">
        <f>HYPERLINK("https://www.reddit.com/r/RMTK/comments/bztdwa","M0069")</f>
        <v>M0069</v>
      </c>
      <c r="AB5" s="2512" t="str">
        <f>HYPERLINK("https://www.reddit.com/r/RMTK/comments/bzupg1","M0070")</f>
        <v>M0070</v>
      </c>
      <c r="AC5" s="2512" t="str">
        <f>HYPERLINK("https://www.reddit.com/r/RMTK/comments/bzfz9f","W0023-I")</f>
        <v>W0023-I</v>
      </c>
      <c r="AD5" s="2512" t="str">
        <f>HYPERLINK("https://www.reddit.com/r/RMTK/comments/c09536","W0024")</f>
        <v>W0024</v>
      </c>
      <c r="AE5" s="2512" t="str">
        <f>HYPERLINK("https://reddit.com/r/RMTK/comments/bxktln/w0023_wetswijziging_tot_verandering_erfbelasting/","W0023")</f>
        <v>W0023</v>
      </c>
      <c r="AF5" s="2512" t="str">
        <f>HYPERLINK("https://reddit.com/r/RMTK/comments/c2juo6/w0026_wet_reclame_alcoholhoudende_dranken/","W0026")</f>
        <v>W0026</v>
      </c>
      <c r="AG5" s="2512" t="str">
        <f>HYPERLINK("https://reddit.com/r/RMTK/comments/c2ykuk/w0025i_amendement_op_koepelwet_kerncentrales/","W0025-I")</f>
        <v>W0025-I</v>
      </c>
      <c r="AH5" s="2512" t="str">
        <f>HYPERLINK("https://www.reddit.com/r/RMTK/comments/c5cgq4/m0072_motie_tot_betere_bereikbaarheid_zeeland/","M0072")</f>
        <v>M0072</v>
      </c>
      <c r="AI5" s="2512" t="str">
        <f>HYPERLINK("https://www.reddit.com/r/RMTK/comments/c5sd9y/m0073_motie_tot_verbetering_internationaal/","M0073")</f>
        <v>M0073</v>
      </c>
      <c r="AJ5" s="2512" t="str">
        <f>HYPERLINK("https://www.reddit.com/r/RMTK/comments/c67sej/m0074_motie_tot_onderzoek_doen_naar_milieuplafonds/","M0074")</f>
        <v>M0074</v>
      </c>
      <c r="AK5" s="2512" t="str">
        <f>HYPERLINK("https://www.reddit.com/r/RMTK/comments/c26kl0/w0025_koepelwet_kerncentrales/","W0025")</f>
        <v>W0025</v>
      </c>
      <c r="AL5" s="2512" t="str">
        <f>HYPERLINK("https://www.reddit.com/r/RMTK/comments/c4pqxl/w0027_wetswijziging_tot_verbieden_discriminatie/","W0027")</f>
        <v>W0027</v>
      </c>
    </row>
    <row r="6" ht="6.0" customHeight="1">
      <c r="A6" s="2513"/>
      <c r="B6" s="2631"/>
      <c r="C6" s="2514"/>
      <c r="D6" s="2676"/>
      <c r="E6" s="2676"/>
      <c r="F6" s="2676"/>
      <c r="G6" s="2676"/>
      <c r="H6" s="2676"/>
      <c r="I6" s="2676"/>
      <c r="J6" s="2676"/>
      <c r="K6" s="2676"/>
      <c r="L6" s="2676"/>
      <c r="M6" s="2676"/>
      <c r="N6" s="2676"/>
      <c r="O6" s="2677"/>
      <c r="P6" s="2677"/>
      <c r="Q6" s="2677"/>
      <c r="R6" s="2677"/>
      <c r="S6" s="2677"/>
      <c r="T6" s="2677"/>
      <c r="U6" s="2678"/>
      <c r="V6" s="2678"/>
      <c r="W6" s="2678"/>
      <c r="X6" s="2678"/>
      <c r="Y6" s="2678"/>
      <c r="Z6" s="2678"/>
      <c r="AA6" s="2678"/>
      <c r="AB6" s="2678"/>
      <c r="AC6" s="2678"/>
      <c r="AD6" s="2678"/>
      <c r="AE6" s="2214"/>
      <c r="AF6" s="2214"/>
      <c r="AG6" s="2214"/>
      <c r="AH6" s="2214"/>
      <c r="AI6" s="2214"/>
      <c r="AJ6" s="2214"/>
      <c r="AK6" s="2214"/>
      <c r="AL6" s="2214"/>
    </row>
    <row r="7" ht="18.75" customHeight="1">
      <c r="A7" s="2519" t="s">
        <v>89</v>
      </c>
      <c r="B7" s="2679" t="s">
        <v>214</v>
      </c>
      <c r="C7" s="2680" t="s">
        <v>1941</v>
      </c>
      <c r="D7" s="2522" t="s">
        <v>91</v>
      </c>
      <c r="E7" s="2522" t="s">
        <v>91</v>
      </c>
      <c r="F7" s="2523" t="s">
        <v>91</v>
      </c>
      <c r="G7" s="2522" t="s">
        <v>92</v>
      </c>
      <c r="H7" s="2522" t="s">
        <v>91</v>
      </c>
      <c r="I7" s="2522" t="s">
        <v>92</v>
      </c>
      <c r="J7" s="2522" t="s">
        <v>92</v>
      </c>
      <c r="K7" s="2523" t="s">
        <v>91</v>
      </c>
      <c r="L7" s="2522" t="s">
        <v>92</v>
      </c>
      <c r="M7" s="2522" t="s">
        <v>91</v>
      </c>
      <c r="N7" s="2681" t="s">
        <v>92</v>
      </c>
      <c r="O7" s="2522" t="s">
        <v>92</v>
      </c>
      <c r="P7" s="2522" t="s">
        <v>92</v>
      </c>
      <c r="Q7" s="2522" t="s">
        <v>92</v>
      </c>
      <c r="R7" s="2682" t="s">
        <v>91</v>
      </c>
      <c r="S7" s="2682" t="s">
        <v>91</v>
      </c>
      <c r="T7" s="2683" t="s">
        <v>91</v>
      </c>
      <c r="U7" s="2684" t="s">
        <v>92</v>
      </c>
      <c r="V7" s="2684" t="s">
        <v>92</v>
      </c>
      <c r="W7" s="2682" t="s">
        <v>91</v>
      </c>
      <c r="X7" s="2682" t="s">
        <v>91</v>
      </c>
      <c r="Y7" s="2682" t="s">
        <v>91</v>
      </c>
      <c r="Z7" s="2685" t="s">
        <v>92</v>
      </c>
      <c r="AA7" s="2682" t="s">
        <v>91</v>
      </c>
      <c r="AB7" s="2536" t="s">
        <v>92</v>
      </c>
      <c r="AC7" s="2682" t="s">
        <v>92</v>
      </c>
      <c r="AD7" s="2682" t="s">
        <v>91</v>
      </c>
      <c r="AE7" s="2686" t="s">
        <v>91</v>
      </c>
      <c r="AF7" s="2687" t="s">
        <v>92</v>
      </c>
      <c r="AG7" s="2688" t="s">
        <v>91</v>
      </c>
      <c r="AH7" s="2687" t="s">
        <v>93</v>
      </c>
      <c r="AI7" s="2687" t="s">
        <v>93</v>
      </c>
      <c r="AJ7" s="2687" t="s">
        <v>93</v>
      </c>
      <c r="AK7" s="2687" t="s">
        <v>93</v>
      </c>
      <c r="AL7" s="2688" t="s">
        <v>93</v>
      </c>
    </row>
    <row r="8" ht="18.75" customHeight="1">
      <c r="A8" s="158"/>
      <c r="B8" s="813"/>
      <c r="C8" s="2689" t="s">
        <v>162</v>
      </c>
      <c r="D8" s="2522" t="s">
        <v>91</v>
      </c>
      <c r="E8" s="2522" t="s">
        <v>91</v>
      </c>
      <c r="F8" s="2523" t="s">
        <v>91</v>
      </c>
      <c r="G8" s="2522" t="s">
        <v>92</v>
      </c>
      <c r="H8" s="2522" t="s">
        <v>92</v>
      </c>
      <c r="I8" s="2522" t="s">
        <v>92</v>
      </c>
      <c r="J8" s="2522" t="s">
        <v>92</v>
      </c>
      <c r="K8" s="2523" t="s">
        <v>91</v>
      </c>
      <c r="L8" s="2522" t="s">
        <v>92</v>
      </c>
      <c r="M8" s="2522" t="s">
        <v>91</v>
      </c>
      <c r="N8" s="2681" t="s">
        <v>92</v>
      </c>
      <c r="O8" s="2522" t="s">
        <v>92</v>
      </c>
      <c r="P8" s="2522" t="s">
        <v>92</v>
      </c>
      <c r="Q8" s="2522" t="s">
        <v>92</v>
      </c>
      <c r="R8" s="2522" t="s">
        <v>92</v>
      </c>
      <c r="S8" s="2682" t="s">
        <v>91</v>
      </c>
      <c r="T8" s="2683" t="s">
        <v>91</v>
      </c>
      <c r="U8" s="2684" t="s">
        <v>92</v>
      </c>
      <c r="V8" s="2684" t="s">
        <v>92</v>
      </c>
      <c r="W8" s="2684" t="s">
        <v>92</v>
      </c>
      <c r="X8" s="2682" t="s">
        <v>91</v>
      </c>
      <c r="Y8" s="2682" t="s">
        <v>91</v>
      </c>
      <c r="Z8" s="2685" t="s">
        <v>92</v>
      </c>
      <c r="AA8" s="2682" t="s">
        <v>92</v>
      </c>
      <c r="AB8" s="2536" t="s">
        <v>92</v>
      </c>
      <c r="AC8" s="2682" t="s">
        <v>92</v>
      </c>
      <c r="AD8" s="2682" t="s">
        <v>91</v>
      </c>
      <c r="AE8" s="2685" t="s">
        <v>91</v>
      </c>
      <c r="AF8" s="2682" t="s">
        <v>92</v>
      </c>
      <c r="AG8" s="2683" t="s">
        <v>91</v>
      </c>
      <c r="AH8" s="2682" t="s">
        <v>92</v>
      </c>
      <c r="AI8" s="2682" t="s">
        <v>91</v>
      </c>
      <c r="AJ8" s="2682" t="s">
        <v>91</v>
      </c>
      <c r="AK8" s="2682" t="s">
        <v>91</v>
      </c>
      <c r="AL8" s="2683" t="s">
        <v>91</v>
      </c>
    </row>
    <row r="9" ht="18.75" customHeight="1">
      <c r="A9" s="158"/>
      <c r="B9" s="813"/>
      <c r="C9" s="2689" t="s">
        <v>1376</v>
      </c>
      <c r="D9" s="2522" t="s">
        <v>91</v>
      </c>
      <c r="E9" s="2522" t="s">
        <v>91</v>
      </c>
      <c r="F9" s="2523" t="s">
        <v>91</v>
      </c>
      <c r="G9" s="2522" t="s">
        <v>92</v>
      </c>
      <c r="H9" s="2522" t="s">
        <v>92</v>
      </c>
      <c r="I9" s="2522" t="s">
        <v>92</v>
      </c>
      <c r="J9" s="2522" t="s">
        <v>92</v>
      </c>
      <c r="K9" s="2523" t="s">
        <v>91</v>
      </c>
      <c r="L9" s="2522" t="s">
        <v>92</v>
      </c>
      <c r="M9" s="2522" t="s">
        <v>91</v>
      </c>
      <c r="N9" s="2681" t="s">
        <v>92</v>
      </c>
      <c r="O9" s="2522" t="s">
        <v>92</v>
      </c>
      <c r="P9" s="2522" t="s">
        <v>92</v>
      </c>
      <c r="Q9" s="2522" t="s">
        <v>92</v>
      </c>
      <c r="R9" s="2682" t="s">
        <v>91</v>
      </c>
      <c r="S9" s="2522" t="s">
        <v>92</v>
      </c>
      <c r="T9" s="2683" t="s">
        <v>91</v>
      </c>
      <c r="U9" s="2684" t="s">
        <v>92</v>
      </c>
      <c r="V9" s="2684" t="s">
        <v>92</v>
      </c>
      <c r="W9" s="2682" t="s">
        <v>91</v>
      </c>
      <c r="X9" s="2682" t="s">
        <v>91</v>
      </c>
      <c r="Y9" s="2682" t="s">
        <v>91</v>
      </c>
      <c r="Z9" s="2685" t="s">
        <v>92</v>
      </c>
      <c r="AA9" s="2682" t="s">
        <v>91</v>
      </c>
      <c r="AB9" s="2536" t="s">
        <v>92</v>
      </c>
      <c r="AC9" s="2682" t="s">
        <v>92</v>
      </c>
      <c r="AD9" s="2682" t="s">
        <v>91</v>
      </c>
      <c r="AE9" s="2685" t="s">
        <v>91</v>
      </c>
      <c r="AF9" s="2682" t="s">
        <v>91</v>
      </c>
      <c r="AG9" s="2683" t="s">
        <v>91</v>
      </c>
      <c r="AH9" s="2682" t="s">
        <v>91</v>
      </c>
      <c r="AI9" s="2682" t="s">
        <v>91</v>
      </c>
      <c r="AJ9" s="2682" t="s">
        <v>91</v>
      </c>
      <c r="AK9" s="2682" t="s">
        <v>92</v>
      </c>
      <c r="AL9" s="2683" t="s">
        <v>91</v>
      </c>
    </row>
    <row r="10" ht="18.75" customHeight="1">
      <c r="A10" s="158"/>
      <c r="B10" s="813"/>
      <c r="C10" s="2689" t="s">
        <v>1330</v>
      </c>
      <c r="D10" s="2522" t="s">
        <v>91</v>
      </c>
      <c r="E10" s="2522" t="s">
        <v>91</v>
      </c>
      <c r="F10" s="2523" t="s">
        <v>91</v>
      </c>
      <c r="G10" s="2522" t="s">
        <v>92</v>
      </c>
      <c r="H10" s="2522" t="s">
        <v>92</v>
      </c>
      <c r="I10" s="2522" t="s">
        <v>92</v>
      </c>
      <c r="J10" s="2522" t="s">
        <v>92</v>
      </c>
      <c r="K10" s="2523" t="s">
        <v>91</v>
      </c>
      <c r="L10" s="2522" t="s">
        <v>92</v>
      </c>
      <c r="M10" s="2522" t="s">
        <v>92</v>
      </c>
      <c r="N10" s="2681" t="s">
        <v>92</v>
      </c>
      <c r="O10" s="2522" t="s">
        <v>92</v>
      </c>
      <c r="P10" s="2522" t="s">
        <v>92</v>
      </c>
      <c r="Q10" s="2522" t="s">
        <v>92</v>
      </c>
      <c r="R10" s="2682" t="s">
        <v>91</v>
      </c>
      <c r="S10" s="2682" t="s">
        <v>91</v>
      </c>
      <c r="T10" s="2683" t="s">
        <v>91</v>
      </c>
      <c r="U10" s="2684" t="s">
        <v>92</v>
      </c>
      <c r="V10" s="2684" t="s">
        <v>92</v>
      </c>
      <c r="W10" s="2682" t="s">
        <v>91</v>
      </c>
      <c r="X10" s="2682" t="s">
        <v>91</v>
      </c>
      <c r="Y10" s="2682" t="s">
        <v>91</v>
      </c>
      <c r="Z10" s="2685" t="s">
        <v>92</v>
      </c>
      <c r="AA10" s="2682" t="s">
        <v>91</v>
      </c>
      <c r="AB10" s="2536" t="s">
        <v>92</v>
      </c>
      <c r="AC10" s="2682" t="s">
        <v>92</v>
      </c>
      <c r="AD10" s="2682" t="s">
        <v>91</v>
      </c>
      <c r="AE10" s="2685" t="s">
        <v>91</v>
      </c>
      <c r="AF10" s="2682" t="s">
        <v>92</v>
      </c>
      <c r="AG10" s="2683" t="s">
        <v>91</v>
      </c>
      <c r="AH10" s="2682" t="s">
        <v>93</v>
      </c>
      <c r="AI10" s="2682" t="s">
        <v>93</v>
      </c>
      <c r="AJ10" s="2682" t="s">
        <v>93</v>
      </c>
      <c r="AK10" s="2682" t="s">
        <v>93</v>
      </c>
      <c r="AL10" s="2683" t="s">
        <v>93</v>
      </c>
    </row>
    <row r="11" ht="18.75" customHeight="1">
      <c r="A11" s="158"/>
      <c r="B11" s="813"/>
      <c r="C11" s="2690" t="s">
        <v>1333</v>
      </c>
      <c r="D11" s="2522" t="s">
        <v>91</v>
      </c>
      <c r="E11" s="2522" t="s">
        <v>91</v>
      </c>
      <c r="F11" s="2523" t="s">
        <v>91</v>
      </c>
      <c r="G11" s="2522" t="s">
        <v>92</v>
      </c>
      <c r="H11" s="2522" t="s">
        <v>92</v>
      </c>
      <c r="I11" s="2522" t="s">
        <v>92</v>
      </c>
      <c r="J11" s="2522" t="s">
        <v>91</v>
      </c>
      <c r="K11" s="2523" t="s">
        <v>91</v>
      </c>
      <c r="L11" s="2522" t="s">
        <v>92</v>
      </c>
      <c r="M11" s="2522" t="s">
        <v>91</v>
      </c>
      <c r="N11" s="2681" t="s">
        <v>92</v>
      </c>
      <c r="O11" s="2522" t="s">
        <v>92</v>
      </c>
      <c r="P11" s="2682" t="s">
        <v>91</v>
      </c>
      <c r="Q11" s="2522" t="s">
        <v>117</v>
      </c>
      <c r="R11" s="2682" t="s">
        <v>91</v>
      </c>
      <c r="S11" s="2522" t="s">
        <v>117</v>
      </c>
      <c r="T11" s="2683" t="s">
        <v>91</v>
      </c>
      <c r="U11" s="2684" t="s">
        <v>93</v>
      </c>
      <c r="V11" s="2684" t="s">
        <v>93</v>
      </c>
      <c r="W11" s="2682" t="s">
        <v>93</v>
      </c>
      <c r="X11" s="2682" t="s">
        <v>93</v>
      </c>
      <c r="Y11" s="2682" t="s">
        <v>93</v>
      </c>
      <c r="Z11" s="2691" t="s">
        <v>93</v>
      </c>
      <c r="AA11" s="2692" t="s">
        <v>93</v>
      </c>
      <c r="AB11" s="2527" t="s">
        <v>93</v>
      </c>
      <c r="AC11" s="2692" t="s">
        <v>93</v>
      </c>
      <c r="AD11" s="2692" t="s">
        <v>93</v>
      </c>
      <c r="AE11" s="2691" t="s">
        <v>93</v>
      </c>
      <c r="AF11" s="2692" t="s">
        <v>93</v>
      </c>
      <c r="AG11" s="2693" t="s">
        <v>93</v>
      </c>
      <c r="AH11" s="2682" t="s">
        <v>118</v>
      </c>
      <c r="AI11" s="2682" t="s">
        <v>118</v>
      </c>
      <c r="AJ11" s="2682" t="s">
        <v>118</v>
      </c>
      <c r="AK11" s="2682" t="s">
        <v>118</v>
      </c>
      <c r="AL11" s="2683" t="s">
        <v>118</v>
      </c>
    </row>
    <row r="12" ht="18.75" customHeight="1">
      <c r="A12" s="158"/>
      <c r="B12" s="813"/>
      <c r="C12" s="2689" t="s">
        <v>1168</v>
      </c>
      <c r="D12" s="2522" t="s">
        <v>118</v>
      </c>
      <c r="E12" s="2522" t="s">
        <v>118</v>
      </c>
      <c r="F12" s="2523" t="s">
        <v>118</v>
      </c>
      <c r="G12" s="2694" t="s">
        <v>118</v>
      </c>
      <c r="H12" s="2522" t="s">
        <v>118</v>
      </c>
      <c r="I12" s="2522" t="s">
        <v>118</v>
      </c>
      <c r="J12" s="2522" t="s">
        <v>118</v>
      </c>
      <c r="K12" s="2523" t="s">
        <v>118</v>
      </c>
      <c r="L12" s="2694" t="s">
        <v>118</v>
      </c>
      <c r="M12" s="2522" t="s">
        <v>118</v>
      </c>
      <c r="N12" s="2695" t="s">
        <v>118</v>
      </c>
      <c r="O12" s="2696" t="s">
        <v>118</v>
      </c>
      <c r="P12" s="2697" t="s">
        <v>118</v>
      </c>
      <c r="Q12" s="2697" t="s">
        <v>118</v>
      </c>
      <c r="R12" s="2697" t="s">
        <v>118</v>
      </c>
      <c r="S12" s="2697" t="s">
        <v>118</v>
      </c>
      <c r="T12" s="2698" t="s">
        <v>118</v>
      </c>
      <c r="U12" s="2699" t="s">
        <v>118</v>
      </c>
      <c r="V12" s="2699" t="s">
        <v>118</v>
      </c>
      <c r="W12" s="2699" t="s">
        <v>118</v>
      </c>
      <c r="X12" s="2699" t="s">
        <v>118</v>
      </c>
      <c r="Y12" s="2699" t="s">
        <v>118</v>
      </c>
      <c r="Z12" s="2700" t="s">
        <v>118</v>
      </c>
      <c r="AA12" s="2699" t="s">
        <v>118</v>
      </c>
      <c r="AB12" s="2530" t="s">
        <v>118</v>
      </c>
      <c r="AC12" s="2699" t="s">
        <v>118</v>
      </c>
      <c r="AD12" s="2699" t="s">
        <v>118</v>
      </c>
      <c r="AE12" s="2700" t="s">
        <v>118</v>
      </c>
      <c r="AF12" s="2699" t="s">
        <v>118</v>
      </c>
      <c r="AG12" s="2701" t="s">
        <v>118</v>
      </c>
      <c r="AH12" s="2682" t="s">
        <v>91</v>
      </c>
      <c r="AI12" s="2682" t="s">
        <v>91</v>
      </c>
      <c r="AJ12" s="2682" t="s">
        <v>91</v>
      </c>
      <c r="AK12" s="2682" t="s">
        <v>91</v>
      </c>
      <c r="AL12" s="2683" t="s">
        <v>91</v>
      </c>
    </row>
    <row r="13" ht="18.75" customHeight="1">
      <c r="A13" s="158"/>
      <c r="B13" s="813"/>
      <c r="C13" s="2689" t="s">
        <v>102</v>
      </c>
      <c r="D13" s="2522" t="s">
        <v>91</v>
      </c>
      <c r="E13" s="2522" t="s">
        <v>91</v>
      </c>
      <c r="F13" s="2523" t="s">
        <v>91</v>
      </c>
      <c r="G13" s="2522" t="s">
        <v>92</v>
      </c>
      <c r="H13" s="2522" t="s">
        <v>117</v>
      </c>
      <c r="I13" s="2522" t="s">
        <v>92</v>
      </c>
      <c r="J13" s="2522" t="s">
        <v>92</v>
      </c>
      <c r="K13" s="2523" t="s">
        <v>91</v>
      </c>
      <c r="L13" s="2522" t="s">
        <v>92</v>
      </c>
      <c r="M13" s="2522" t="s">
        <v>117</v>
      </c>
      <c r="N13" s="2681" t="s">
        <v>92</v>
      </c>
      <c r="O13" s="2522" t="s">
        <v>92</v>
      </c>
      <c r="P13" s="2522" t="s">
        <v>92</v>
      </c>
      <c r="Q13" s="2522" t="s">
        <v>92</v>
      </c>
      <c r="R13" s="2682" t="s">
        <v>91</v>
      </c>
      <c r="S13" s="2522" t="s">
        <v>117</v>
      </c>
      <c r="T13" s="2683" t="s">
        <v>91</v>
      </c>
      <c r="U13" s="2684" t="s">
        <v>92</v>
      </c>
      <c r="V13" s="2684" t="s">
        <v>92</v>
      </c>
      <c r="W13" s="2682" t="s">
        <v>91</v>
      </c>
      <c r="X13" s="2682" t="s">
        <v>91</v>
      </c>
      <c r="Y13" s="2682" t="s">
        <v>91</v>
      </c>
      <c r="Z13" s="2685" t="s">
        <v>92</v>
      </c>
      <c r="AA13" s="2682" t="s">
        <v>91</v>
      </c>
      <c r="AB13" s="2536" t="s">
        <v>92</v>
      </c>
      <c r="AC13" s="2682" t="s">
        <v>92</v>
      </c>
      <c r="AD13" s="2682" t="s">
        <v>91</v>
      </c>
      <c r="AE13" s="2685" t="s">
        <v>91</v>
      </c>
      <c r="AF13" s="2682" t="s">
        <v>92</v>
      </c>
      <c r="AG13" s="2683" t="s">
        <v>91</v>
      </c>
      <c r="AH13" s="2682" t="s">
        <v>91</v>
      </c>
      <c r="AI13" s="2682" t="s">
        <v>91</v>
      </c>
      <c r="AJ13" s="2682" t="s">
        <v>91</v>
      </c>
      <c r="AK13" s="2682" t="s">
        <v>91</v>
      </c>
      <c r="AL13" s="2683" t="s">
        <v>91</v>
      </c>
    </row>
    <row r="14" ht="18.75" customHeight="1">
      <c r="A14" s="158"/>
      <c r="B14" s="968"/>
      <c r="C14" s="2702" t="s">
        <v>1943</v>
      </c>
      <c r="D14" s="2522" t="s">
        <v>91</v>
      </c>
      <c r="E14" s="2522" t="s">
        <v>91</v>
      </c>
      <c r="F14" s="2523" t="s">
        <v>91</v>
      </c>
      <c r="G14" s="2522" t="s">
        <v>92</v>
      </c>
      <c r="H14" s="2522" t="s">
        <v>91</v>
      </c>
      <c r="I14" s="2522" t="s">
        <v>92</v>
      </c>
      <c r="J14" s="2522" t="s">
        <v>92</v>
      </c>
      <c r="K14" s="2523" t="s">
        <v>91</v>
      </c>
      <c r="L14" s="2522" t="s">
        <v>92</v>
      </c>
      <c r="M14" s="2522" t="s">
        <v>91</v>
      </c>
      <c r="N14" s="2681" t="s">
        <v>92</v>
      </c>
      <c r="O14" s="2522" t="s">
        <v>92</v>
      </c>
      <c r="P14" s="2522" t="s">
        <v>92</v>
      </c>
      <c r="Q14" s="2522" t="s">
        <v>92</v>
      </c>
      <c r="R14" s="2682" t="s">
        <v>91</v>
      </c>
      <c r="S14" s="2682" t="s">
        <v>91</v>
      </c>
      <c r="T14" s="2683" t="s">
        <v>91</v>
      </c>
      <c r="U14" s="2684" t="s">
        <v>92</v>
      </c>
      <c r="V14" s="2684" t="s">
        <v>92</v>
      </c>
      <c r="W14" s="2682" t="s">
        <v>91</v>
      </c>
      <c r="X14" s="2682" t="s">
        <v>91</v>
      </c>
      <c r="Y14" s="2682" t="s">
        <v>91</v>
      </c>
      <c r="Z14" s="2685" t="s">
        <v>92</v>
      </c>
      <c r="AA14" s="2682" t="s">
        <v>91</v>
      </c>
      <c r="AB14" s="2536" t="s">
        <v>92</v>
      </c>
      <c r="AC14" s="2682" t="s">
        <v>92</v>
      </c>
      <c r="AD14" s="2682" t="s">
        <v>91</v>
      </c>
      <c r="AE14" s="2685" t="s">
        <v>91</v>
      </c>
      <c r="AF14" s="2682" t="s">
        <v>92</v>
      </c>
      <c r="AG14" s="2683" t="s">
        <v>91</v>
      </c>
      <c r="AH14" s="2682" t="s">
        <v>92</v>
      </c>
      <c r="AI14" s="2682" t="s">
        <v>91</v>
      </c>
      <c r="AJ14" s="2682" t="s">
        <v>91</v>
      </c>
      <c r="AK14" s="2682" t="s">
        <v>91</v>
      </c>
      <c r="AL14" s="2683" t="s">
        <v>91</v>
      </c>
    </row>
    <row r="15" ht="18.75" customHeight="1">
      <c r="A15" s="158"/>
      <c r="B15" s="2561" t="s">
        <v>243</v>
      </c>
      <c r="C15" s="2703" t="s">
        <v>252</v>
      </c>
      <c r="D15" s="2522" t="s">
        <v>91</v>
      </c>
      <c r="E15" s="2522" t="s">
        <v>91</v>
      </c>
      <c r="F15" s="2523" t="s">
        <v>91</v>
      </c>
      <c r="G15" s="2522" t="s">
        <v>92</v>
      </c>
      <c r="H15" s="2522" t="s">
        <v>91</v>
      </c>
      <c r="I15" s="2522" t="s">
        <v>92</v>
      </c>
      <c r="J15" s="2522" t="s">
        <v>91</v>
      </c>
      <c r="K15" s="2523" t="s">
        <v>91</v>
      </c>
      <c r="L15" s="2522" t="s">
        <v>92</v>
      </c>
      <c r="M15" s="2522" t="s">
        <v>91</v>
      </c>
      <c r="N15" s="2681" t="s">
        <v>92</v>
      </c>
      <c r="O15" s="2522" t="s">
        <v>92</v>
      </c>
      <c r="P15" s="2522" t="s">
        <v>92</v>
      </c>
      <c r="Q15" s="2522" t="s">
        <v>92</v>
      </c>
      <c r="R15" s="2682" t="s">
        <v>91</v>
      </c>
      <c r="S15" s="2682" t="s">
        <v>91</v>
      </c>
      <c r="T15" s="2683" t="s">
        <v>91</v>
      </c>
      <c r="U15" s="2684" t="s">
        <v>92</v>
      </c>
      <c r="V15" s="2684" t="s">
        <v>92</v>
      </c>
      <c r="W15" s="2682" t="s">
        <v>91</v>
      </c>
      <c r="X15" s="2682" t="s">
        <v>91</v>
      </c>
      <c r="Y15" s="2682" t="s">
        <v>91</v>
      </c>
      <c r="Z15" s="2685" t="s">
        <v>92</v>
      </c>
      <c r="AA15" s="2682" t="s">
        <v>91</v>
      </c>
      <c r="AB15" s="2536" t="s">
        <v>92</v>
      </c>
      <c r="AC15" s="2682" t="s">
        <v>92</v>
      </c>
      <c r="AD15" s="2682" t="s">
        <v>91</v>
      </c>
      <c r="AE15" s="2685" t="s">
        <v>91</v>
      </c>
      <c r="AF15" s="2682" t="s">
        <v>92</v>
      </c>
      <c r="AG15" s="2683" t="s">
        <v>91</v>
      </c>
      <c r="AH15" s="2682" t="s">
        <v>91</v>
      </c>
      <c r="AI15" s="2682" t="s">
        <v>91</v>
      </c>
      <c r="AJ15" s="2682" t="s">
        <v>91</v>
      </c>
      <c r="AK15" s="2682" t="s">
        <v>91</v>
      </c>
      <c r="AL15" s="2683" t="s">
        <v>91</v>
      </c>
    </row>
    <row r="16" ht="18.75" customHeight="1">
      <c r="A16" s="158"/>
      <c r="B16" s="813"/>
      <c r="C16" s="2563" t="s">
        <v>244</v>
      </c>
      <c r="D16" s="2522" t="s">
        <v>91</v>
      </c>
      <c r="E16" s="2522" t="s">
        <v>91</v>
      </c>
      <c r="F16" s="2523" t="s">
        <v>91</v>
      </c>
      <c r="G16" s="2522" t="s">
        <v>92</v>
      </c>
      <c r="H16" s="2522" t="s">
        <v>91</v>
      </c>
      <c r="I16" s="2522" t="s">
        <v>92</v>
      </c>
      <c r="J16" s="2522" t="s">
        <v>92</v>
      </c>
      <c r="K16" s="2523" t="s">
        <v>91</v>
      </c>
      <c r="L16" s="2522" t="s">
        <v>92</v>
      </c>
      <c r="M16" s="2522" t="s">
        <v>91</v>
      </c>
      <c r="N16" s="2681" t="s">
        <v>92</v>
      </c>
      <c r="O16" s="2522" t="s">
        <v>92</v>
      </c>
      <c r="P16" s="2522" t="s">
        <v>92</v>
      </c>
      <c r="Q16" s="2522" t="s">
        <v>92</v>
      </c>
      <c r="R16" s="2682" t="s">
        <v>91</v>
      </c>
      <c r="S16" s="2682" t="s">
        <v>91</v>
      </c>
      <c r="T16" s="2683" t="s">
        <v>91</v>
      </c>
      <c r="U16" s="2684" t="s">
        <v>92</v>
      </c>
      <c r="V16" s="2684" t="s">
        <v>92</v>
      </c>
      <c r="W16" s="2682" t="s">
        <v>91</v>
      </c>
      <c r="X16" s="2682" t="s">
        <v>91</v>
      </c>
      <c r="Y16" s="2682" t="s">
        <v>91</v>
      </c>
      <c r="Z16" s="2685" t="s">
        <v>92</v>
      </c>
      <c r="AA16" s="2682" t="s">
        <v>91</v>
      </c>
      <c r="AB16" s="2536" t="s">
        <v>92</v>
      </c>
      <c r="AC16" s="2682" t="s">
        <v>92</v>
      </c>
      <c r="AD16" s="2682" t="s">
        <v>91</v>
      </c>
      <c r="AE16" s="2685" t="s">
        <v>91</v>
      </c>
      <c r="AF16" s="2682" t="s">
        <v>92</v>
      </c>
      <c r="AG16" s="2683" t="s">
        <v>91</v>
      </c>
      <c r="AH16" s="2682" t="s">
        <v>93</v>
      </c>
      <c r="AI16" s="2682" t="s">
        <v>93</v>
      </c>
      <c r="AJ16" s="2682" t="s">
        <v>93</v>
      </c>
      <c r="AK16" s="2682" t="s">
        <v>93</v>
      </c>
      <c r="AL16" s="2683" t="s">
        <v>93</v>
      </c>
    </row>
    <row r="17" ht="18.75" customHeight="1">
      <c r="A17" s="158"/>
      <c r="B17" s="813"/>
      <c r="C17" s="2564" t="s">
        <v>249</v>
      </c>
      <c r="D17" s="2522" t="s">
        <v>91</v>
      </c>
      <c r="E17" s="2522" t="s">
        <v>91</v>
      </c>
      <c r="F17" s="2523" t="s">
        <v>91</v>
      </c>
      <c r="G17" s="2522" t="s">
        <v>92</v>
      </c>
      <c r="H17" s="2522" t="s">
        <v>91</v>
      </c>
      <c r="I17" s="2522" t="s">
        <v>92</v>
      </c>
      <c r="J17" s="2522" t="s">
        <v>91</v>
      </c>
      <c r="K17" s="2523" t="s">
        <v>91</v>
      </c>
      <c r="L17" s="2522" t="s">
        <v>92</v>
      </c>
      <c r="M17" s="2522" t="s">
        <v>91</v>
      </c>
      <c r="N17" s="2681" t="s">
        <v>92</v>
      </c>
      <c r="O17" s="2522" t="s">
        <v>92</v>
      </c>
      <c r="P17" s="2522" t="s">
        <v>92</v>
      </c>
      <c r="Q17" s="2522" t="s">
        <v>92</v>
      </c>
      <c r="R17" s="2682" t="s">
        <v>91</v>
      </c>
      <c r="S17" s="2682" t="s">
        <v>91</v>
      </c>
      <c r="T17" s="2683" t="s">
        <v>91</v>
      </c>
      <c r="U17" s="2684" t="s">
        <v>92</v>
      </c>
      <c r="V17" s="2684" t="s">
        <v>92</v>
      </c>
      <c r="W17" s="2682" t="s">
        <v>91</v>
      </c>
      <c r="X17" s="2682" t="s">
        <v>91</v>
      </c>
      <c r="Y17" s="2682" t="s">
        <v>91</v>
      </c>
      <c r="Z17" s="2685" t="s">
        <v>92</v>
      </c>
      <c r="AA17" s="2682" t="s">
        <v>91</v>
      </c>
      <c r="AB17" s="2536" t="s">
        <v>92</v>
      </c>
      <c r="AC17" s="2682" t="s">
        <v>92</v>
      </c>
      <c r="AD17" s="2682" t="s">
        <v>91</v>
      </c>
      <c r="AE17" s="2685" t="s">
        <v>91</v>
      </c>
      <c r="AF17" s="2682" t="s">
        <v>92</v>
      </c>
      <c r="AG17" s="2683" t="s">
        <v>91</v>
      </c>
      <c r="AH17" s="2682" t="s">
        <v>91</v>
      </c>
      <c r="AI17" s="2682" t="s">
        <v>91</v>
      </c>
      <c r="AJ17" s="2682" t="s">
        <v>91</v>
      </c>
      <c r="AK17" s="2682" t="s">
        <v>91</v>
      </c>
      <c r="AL17" s="2683" t="s">
        <v>91</v>
      </c>
    </row>
    <row r="18" ht="18.75" customHeight="1">
      <c r="A18" s="158"/>
      <c r="B18" s="813"/>
      <c r="C18" s="2704" t="s">
        <v>294</v>
      </c>
      <c r="D18" s="2522" t="s">
        <v>91</v>
      </c>
      <c r="E18" s="2522" t="s">
        <v>91</v>
      </c>
      <c r="F18" s="2523" t="s">
        <v>91</v>
      </c>
      <c r="G18" s="2522" t="s">
        <v>92</v>
      </c>
      <c r="H18" s="2522" t="s">
        <v>92</v>
      </c>
      <c r="I18" s="2522" t="s">
        <v>92</v>
      </c>
      <c r="J18" s="2522" t="s">
        <v>92</v>
      </c>
      <c r="K18" s="2523" t="s">
        <v>91</v>
      </c>
      <c r="L18" s="2522" t="s">
        <v>92</v>
      </c>
      <c r="M18" s="2522" t="s">
        <v>91</v>
      </c>
      <c r="N18" s="2681" t="s">
        <v>92</v>
      </c>
      <c r="O18" s="2522" t="s">
        <v>92</v>
      </c>
      <c r="P18" s="2522" t="s">
        <v>92</v>
      </c>
      <c r="Q18" s="2682" t="s">
        <v>91</v>
      </c>
      <c r="R18" s="2682" t="s">
        <v>91</v>
      </c>
      <c r="S18" s="2682" t="s">
        <v>91</v>
      </c>
      <c r="T18" s="2683" t="s">
        <v>91</v>
      </c>
      <c r="U18" s="2684" t="s">
        <v>92</v>
      </c>
      <c r="V18" s="2684" t="s">
        <v>92</v>
      </c>
      <c r="W18" s="2682" t="s">
        <v>91</v>
      </c>
      <c r="X18" s="2682" t="s">
        <v>91</v>
      </c>
      <c r="Y18" s="2682" t="s">
        <v>91</v>
      </c>
      <c r="Z18" s="2685" t="s">
        <v>91</v>
      </c>
      <c r="AA18" s="2682" t="s">
        <v>91</v>
      </c>
      <c r="AB18" s="2536" t="s">
        <v>92</v>
      </c>
      <c r="AC18" s="2682" t="s">
        <v>92</v>
      </c>
      <c r="AD18" s="2682" t="s">
        <v>91</v>
      </c>
      <c r="AE18" s="2700" t="s">
        <v>118</v>
      </c>
      <c r="AF18" s="2699" t="s">
        <v>118</v>
      </c>
      <c r="AG18" s="2701" t="s">
        <v>118</v>
      </c>
      <c r="AH18" s="2699" t="s">
        <v>118</v>
      </c>
      <c r="AI18" s="2699" t="s">
        <v>118</v>
      </c>
      <c r="AJ18" s="2699" t="s">
        <v>118</v>
      </c>
      <c r="AK18" s="2699" t="s">
        <v>118</v>
      </c>
      <c r="AL18" s="2701" t="s">
        <v>118</v>
      </c>
    </row>
    <row r="19" ht="18.75" customHeight="1">
      <c r="A19" s="158"/>
      <c r="B19" s="813"/>
      <c r="C19" s="2565" t="s">
        <v>260</v>
      </c>
      <c r="D19" s="2522" t="s">
        <v>91</v>
      </c>
      <c r="E19" s="2522" t="s">
        <v>91</v>
      </c>
      <c r="F19" s="2523" t="s">
        <v>91</v>
      </c>
      <c r="G19" s="2522" t="s">
        <v>92</v>
      </c>
      <c r="H19" s="2522" t="s">
        <v>91</v>
      </c>
      <c r="I19" s="2522" t="s">
        <v>92</v>
      </c>
      <c r="J19" s="2522" t="s">
        <v>91</v>
      </c>
      <c r="K19" s="2523" t="s">
        <v>91</v>
      </c>
      <c r="L19" s="2522" t="s">
        <v>92</v>
      </c>
      <c r="M19" s="2522" t="s">
        <v>91</v>
      </c>
      <c r="N19" s="2681" t="s">
        <v>92</v>
      </c>
      <c r="O19" s="2694" t="s">
        <v>92</v>
      </c>
      <c r="P19" s="2522" t="s">
        <v>92</v>
      </c>
      <c r="Q19" s="2705" t="s">
        <v>91</v>
      </c>
      <c r="R19" s="2705" t="s">
        <v>91</v>
      </c>
      <c r="S19" s="2522" t="s">
        <v>92</v>
      </c>
      <c r="T19" s="2706" t="s">
        <v>91</v>
      </c>
      <c r="U19" s="2699" t="s">
        <v>118</v>
      </c>
      <c r="V19" s="2699" t="s">
        <v>118</v>
      </c>
      <c r="W19" s="2699" t="s">
        <v>118</v>
      </c>
      <c r="X19" s="2699" t="s">
        <v>118</v>
      </c>
      <c r="Y19" s="2699" t="s">
        <v>118</v>
      </c>
      <c r="Z19" s="2700" t="s">
        <v>118</v>
      </c>
      <c r="AA19" s="2699" t="s">
        <v>118</v>
      </c>
      <c r="AB19" s="2530" t="s">
        <v>118</v>
      </c>
      <c r="AC19" s="2699" t="s">
        <v>118</v>
      </c>
      <c r="AD19" s="2699" t="s">
        <v>118</v>
      </c>
      <c r="AE19" s="2700" t="s">
        <v>118</v>
      </c>
      <c r="AF19" s="2699" t="s">
        <v>118</v>
      </c>
      <c r="AG19" s="2701" t="s">
        <v>118</v>
      </c>
      <c r="AH19" s="2699" t="s">
        <v>118</v>
      </c>
      <c r="AI19" s="2699" t="s">
        <v>118</v>
      </c>
      <c r="AJ19" s="2699" t="s">
        <v>118</v>
      </c>
      <c r="AK19" s="2699" t="s">
        <v>118</v>
      </c>
      <c r="AL19" s="2701" t="s">
        <v>118</v>
      </c>
    </row>
    <row r="20" ht="18.75" customHeight="1">
      <c r="A20" s="158"/>
      <c r="B20" s="813"/>
      <c r="C20" s="2566" t="s">
        <v>1358</v>
      </c>
      <c r="D20" s="2522" t="s">
        <v>118</v>
      </c>
      <c r="E20" s="2522" t="s">
        <v>118</v>
      </c>
      <c r="F20" s="2523" t="s">
        <v>118</v>
      </c>
      <c r="G20" s="2694" t="s">
        <v>118</v>
      </c>
      <c r="H20" s="2522" t="s">
        <v>118</v>
      </c>
      <c r="I20" s="2522" t="s">
        <v>118</v>
      </c>
      <c r="J20" s="2522" t="s">
        <v>118</v>
      </c>
      <c r="K20" s="2523" t="s">
        <v>118</v>
      </c>
      <c r="L20" s="2694" t="s">
        <v>118</v>
      </c>
      <c r="M20" s="2522" t="s">
        <v>118</v>
      </c>
      <c r="N20" s="2523" t="s">
        <v>118</v>
      </c>
      <c r="O20" s="2694" t="s">
        <v>118</v>
      </c>
      <c r="P20" s="2699" t="s">
        <v>118</v>
      </c>
      <c r="Q20" s="2699" t="s">
        <v>118</v>
      </c>
      <c r="R20" s="2699" t="s">
        <v>118</v>
      </c>
      <c r="S20" s="2699" t="s">
        <v>118</v>
      </c>
      <c r="T20" s="2701" t="s">
        <v>118</v>
      </c>
      <c r="U20" s="2684" t="s">
        <v>92</v>
      </c>
      <c r="V20" s="2684" t="s">
        <v>117</v>
      </c>
      <c r="W20" s="2682" t="s">
        <v>91</v>
      </c>
      <c r="X20" s="2682" t="s">
        <v>91</v>
      </c>
      <c r="Y20" s="2682" t="s">
        <v>91</v>
      </c>
      <c r="Z20" s="2685" t="s">
        <v>91</v>
      </c>
      <c r="AA20" s="2682" t="s">
        <v>91</v>
      </c>
      <c r="AB20" s="2536" t="s">
        <v>92</v>
      </c>
      <c r="AC20" s="2682" t="s">
        <v>92</v>
      </c>
      <c r="AD20" s="2682" t="s">
        <v>91</v>
      </c>
      <c r="AE20" s="2685" t="s">
        <v>91</v>
      </c>
      <c r="AF20" s="2682" t="s">
        <v>91</v>
      </c>
      <c r="AG20" s="2683" t="s">
        <v>91</v>
      </c>
      <c r="AH20" s="2682" t="s">
        <v>91</v>
      </c>
      <c r="AI20" s="2682" t="s">
        <v>91</v>
      </c>
      <c r="AJ20" s="2682" t="s">
        <v>91</v>
      </c>
      <c r="AK20" s="2682" t="s">
        <v>91</v>
      </c>
      <c r="AL20" s="2683" t="s">
        <v>91</v>
      </c>
    </row>
    <row r="21" ht="18.75" customHeight="1">
      <c r="A21" s="158"/>
      <c r="B21" s="813"/>
      <c r="C21" s="2565" t="s">
        <v>262</v>
      </c>
      <c r="D21" s="2522" t="s">
        <v>91</v>
      </c>
      <c r="E21" s="2522" t="s">
        <v>91</v>
      </c>
      <c r="F21" s="2523" t="s">
        <v>91</v>
      </c>
      <c r="G21" s="2522" t="s">
        <v>92</v>
      </c>
      <c r="H21" s="2522" t="s">
        <v>117</v>
      </c>
      <c r="I21" s="2522" t="s">
        <v>92</v>
      </c>
      <c r="J21" s="2522" t="s">
        <v>91</v>
      </c>
      <c r="K21" s="2523" t="s">
        <v>91</v>
      </c>
      <c r="L21" s="2522" t="s">
        <v>93</v>
      </c>
      <c r="M21" s="2522" t="s">
        <v>93</v>
      </c>
      <c r="N21" s="2707" t="s">
        <v>93</v>
      </c>
      <c r="O21" s="2522" t="s">
        <v>92</v>
      </c>
      <c r="P21" s="2522" t="s">
        <v>92</v>
      </c>
      <c r="Q21" s="2522" t="s">
        <v>92</v>
      </c>
      <c r="R21" s="2682" t="s">
        <v>91</v>
      </c>
      <c r="S21" s="2682" t="s">
        <v>91</v>
      </c>
      <c r="T21" s="2683" t="s">
        <v>91</v>
      </c>
      <c r="U21" s="2684" t="s">
        <v>92</v>
      </c>
      <c r="V21" s="2684" t="s">
        <v>92</v>
      </c>
      <c r="W21" s="2682" t="s">
        <v>91</v>
      </c>
      <c r="X21" s="2682" t="s">
        <v>91</v>
      </c>
      <c r="Y21" s="2682" t="s">
        <v>91</v>
      </c>
      <c r="Z21" s="2685" t="s">
        <v>92</v>
      </c>
      <c r="AA21" s="2682" t="s">
        <v>91</v>
      </c>
      <c r="AB21" s="2536" t="s">
        <v>92</v>
      </c>
      <c r="AC21" s="2682" t="s">
        <v>92</v>
      </c>
      <c r="AD21" s="2682" t="s">
        <v>91</v>
      </c>
      <c r="AE21" s="2700" t="s">
        <v>118</v>
      </c>
      <c r="AF21" s="2699" t="s">
        <v>118</v>
      </c>
      <c r="AG21" s="2701" t="s">
        <v>118</v>
      </c>
      <c r="AH21" s="2699" t="s">
        <v>118</v>
      </c>
      <c r="AI21" s="2699" t="s">
        <v>118</v>
      </c>
      <c r="AJ21" s="2699" t="s">
        <v>118</v>
      </c>
      <c r="AK21" s="2699" t="s">
        <v>118</v>
      </c>
      <c r="AL21" s="2701" t="s">
        <v>118</v>
      </c>
    </row>
    <row r="22" ht="18.75" customHeight="1">
      <c r="A22" s="168"/>
      <c r="B22" s="968"/>
      <c r="C22" s="2708" t="s">
        <v>206</v>
      </c>
      <c r="D22" s="2522" t="s">
        <v>118</v>
      </c>
      <c r="E22" s="2522" t="s">
        <v>118</v>
      </c>
      <c r="F22" s="2523" t="s">
        <v>118</v>
      </c>
      <c r="G22" s="2694" t="s">
        <v>118</v>
      </c>
      <c r="H22" s="2522" t="s">
        <v>118</v>
      </c>
      <c r="I22" s="2522" t="s">
        <v>118</v>
      </c>
      <c r="J22" s="2522" t="s">
        <v>118</v>
      </c>
      <c r="K22" s="2523" t="s">
        <v>118</v>
      </c>
      <c r="L22" s="2694" t="s">
        <v>118</v>
      </c>
      <c r="M22" s="2522" t="s">
        <v>118</v>
      </c>
      <c r="N22" s="2695" t="s">
        <v>118</v>
      </c>
      <c r="O22" s="2696" t="s">
        <v>118</v>
      </c>
      <c r="P22" s="2697" t="s">
        <v>118</v>
      </c>
      <c r="Q22" s="2697" t="s">
        <v>118</v>
      </c>
      <c r="R22" s="2697" t="s">
        <v>118</v>
      </c>
      <c r="S22" s="2697" t="s">
        <v>118</v>
      </c>
      <c r="T22" s="2698" t="s">
        <v>118</v>
      </c>
      <c r="U22" s="2697" t="s">
        <v>118</v>
      </c>
      <c r="V22" s="2697" t="s">
        <v>118</v>
      </c>
      <c r="W22" s="2697" t="s">
        <v>118</v>
      </c>
      <c r="X22" s="2697" t="s">
        <v>118</v>
      </c>
      <c r="Y22" s="2697" t="s">
        <v>118</v>
      </c>
      <c r="Z22" s="2709" t="s">
        <v>118</v>
      </c>
      <c r="AA22" s="2697" t="s">
        <v>118</v>
      </c>
      <c r="AB22" s="2710" t="s">
        <v>118</v>
      </c>
      <c r="AC22" s="2697" t="s">
        <v>118</v>
      </c>
      <c r="AD22" s="2697" t="s">
        <v>118</v>
      </c>
      <c r="AE22" s="2711" t="s">
        <v>91</v>
      </c>
      <c r="AF22" s="2711" t="s">
        <v>92</v>
      </c>
      <c r="AG22" s="2712" t="s">
        <v>91</v>
      </c>
      <c r="AH22" s="2711" t="s">
        <v>91</v>
      </c>
      <c r="AI22" s="2713" t="s">
        <v>91</v>
      </c>
      <c r="AJ22" s="2713" t="s">
        <v>91</v>
      </c>
      <c r="AK22" s="2713" t="s">
        <v>91</v>
      </c>
      <c r="AL22" s="2712" t="s">
        <v>91</v>
      </c>
    </row>
    <row r="23" ht="9.75" customHeight="1">
      <c r="A23" s="2553"/>
      <c r="B23" s="2554"/>
      <c r="C23" s="2714"/>
      <c r="D23" s="2235" t="str">
        <f t="shared" ref="D23:AL23" si="1">LINKURL(D5)</f>
        <v>https://www.reddit.com/r/RMTK/comments/bldkk7</v>
      </c>
      <c r="E23" s="2235" t="str">
        <f t="shared" si="1"/>
        <v>https://www.reddit.com/r/RMTK/comments/bj9hku</v>
      </c>
      <c r="F23" s="2350" t="str">
        <f t="shared" si="1"/>
        <v>https://www.reddit.com/r/RMTK/comments/bluekl</v>
      </c>
      <c r="G23" s="2235" t="str">
        <f t="shared" si="1"/>
        <v>https://www.reddit.com/r/RMTK/comments/bo84o0</v>
      </c>
      <c r="H23" s="2235" t="str">
        <f t="shared" si="1"/>
        <v>https://www.reddit.com/r/RMTK/comments/bolxzd</v>
      </c>
      <c r="I23" s="2235" t="str">
        <f t="shared" si="1"/>
        <v>https://www.reddit.com/r/RMTK/comments/bp1yrt</v>
      </c>
      <c r="J23" s="2235" t="str">
        <f t="shared" si="1"/>
        <v>https://www.reddit.com/r/RMTK/comments/bpg279</v>
      </c>
      <c r="K23" s="2350" t="str">
        <f t="shared" si="1"/>
        <v>https://www.reddit.com/r/RMTK/comments/bjlxhu</v>
      </c>
      <c r="L23" s="2235" t="str">
        <f t="shared" si="1"/>
        <v>https://www.reddit.com/r/RMTK/comments/bqyh4h</v>
      </c>
      <c r="M23" s="2235" t="str">
        <f t="shared" si="1"/>
        <v>https://www.reddit.com/r/RMTK/comments/bre7w0</v>
      </c>
      <c r="N23" s="2715" t="str">
        <f t="shared" si="1"/>
        <v>https://www.reddit.com/r/RMTK/comments/bsdur4</v>
      </c>
      <c r="O23" s="2716" t="str">
        <f t="shared" si="1"/>
        <v>https://www.reddit.com/r/RMTK/comments/btpiig</v>
      </c>
      <c r="P23" s="2716" t="str">
        <f t="shared" si="1"/>
        <v>https://www.reddit.com/r/RMTK/comments/bu3gzh</v>
      </c>
      <c r="Q23" s="2716" t="str">
        <f t="shared" si="1"/>
        <v>https://www.reddit.com/r/RMTK/comments/buj9zq</v>
      </c>
      <c r="R23" s="2716" t="str">
        <f t="shared" si="1"/>
        <v>https://www.reddit.com/r/RMTK/comments/buv49l</v>
      </c>
      <c r="S23" s="2716" t="str">
        <f t="shared" si="1"/>
        <v>https://www.reddit.com/r/RMTK/comments/buw274</v>
      </c>
      <c r="T23" s="2716" t="str">
        <f t="shared" si="1"/>
        <v>https://www.reddit.com/r/RMTK/comments/bu3zq8</v>
      </c>
      <c r="U23" s="2717" t="str">
        <f t="shared" si="1"/>
        <v>https://www.reddit.com/r/RMTK/comments/bwsh5f</v>
      </c>
      <c r="V23" s="2717" t="str">
        <f t="shared" si="1"/>
        <v>https://www.reddit.com/r/RMTK/comments/bx5ji9</v>
      </c>
      <c r="W23" s="2717" t="str">
        <f t="shared" si="1"/>
        <v>https://www.reddit.com/r/RMTK/comments/bxlc67</v>
      </c>
      <c r="X23" s="2717" t="str">
        <f t="shared" si="1"/>
        <v>https://www.reddit.com/r/RMTK/comments/bwf39d</v>
      </c>
      <c r="Y23" s="2717" t="str">
        <f t="shared" si="1"/>
        <v>https://www.reddit.com/r/RMTK/comments/bwr7df</v>
      </c>
      <c r="Z23" s="2717" t="str">
        <f t="shared" si="1"/>
        <v>https://www.reddit.com/r/RMTK/comments/bz0k2u</v>
      </c>
      <c r="AA23" s="2717" t="str">
        <f t="shared" si="1"/>
        <v>https://www.reddit.com/r/RMTK/comments/bztdwa</v>
      </c>
      <c r="AB23" s="2558" t="str">
        <f t="shared" si="1"/>
        <v>https://www.reddit.com/r/RMTK/comments/bzupg1</v>
      </c>
      <c r="AC23" s="2717" t="str">
        <f t="shared" si="1"/>
        <v>https://www.reddit.com/r/RMTK/comments/bzfz9f</v>
      </c>
      <c r="AD23" s="2717" t="str">
        <f t="shared" si="1"/>
        <v>https://www.reddit.com/r/RMTK/comments/c09536</v>
      </c>
      <c r="AE23" s="2717" t="str">
        <f t="shared" si="1"/>
        <v>https://reddit.com/r/RMTK/comments/bxktln/w0023_wetswijziging_tot_verandering_erfbelasting/</v>
      </c>
      <c r="AF23" s="2717" t="str">
        <f t="shared" si="1"/>
        <v>https://reddit.com/r/RMTK/comments/c2juo6/w0026_wet_reclame_alcoholhoudende_dranken/</v>
      </c>
      <c r="AG23" s="2717" t="str">
        <f t="shared" si="1"/>
        <v>https://reddit.com/r/RMTK/comments/c2ykuk/w0025i_amendement_op_koepelwet_kerncentrales/</v>
      </c>
      <c r="AH23" s="2717" t="str">
        <f t="shared" si="1"/>
        <v>https://www.reddit.com/r/RMTK/comments/c5cgq4/m0072_motie_tot_betere_bereikbaarheid_zeeland/</v>
      </c>
      <c r="AI23" s="2262" t="str">
        <f t="shared" si="1"/>
        <v>https://www.reddit.com/r/RMTK/comments/c5sd9y/m0073_motie_tot_verbetering_internationaal/</v>
      </c>
      <c r="AJ23" s="2262" t="str">
        <f t="shared" si="1"/>
        <v>https://www.reddit.com/r/RMTK/comments/c67sej/m0074_motie_tot_onderzoek_doen_naar_milieuplafonds/</v>
      </c>
      <c r="AK23" s="2262" t="str">
        <f t="shared" si="1"/>
        <v>https://www.reddit.com/r/RMTK/comments/c26kl0/w0025_koepelwet_kerncentrales/</v>
      </c>
      <c r="AL23" s="2262" t="str">
        <f t="shared" si="1"/>
        <v>https://www.reddit.com/r/RMTK/comments/c4pqxl/w0027_wetswijziging_tot_verbieden_discriminatie/</v>
      </c>
    </row>
    <row r="24" ht="18.75" customHeight="1">
      <c r="A24" s="2560" t="s">
        <v>105</v>
      </c>
      <c r="B24" s="2520" t="s">
        <v>31</v>
      </c>
      <c r="C24" s="2718" t="s">
        <v>32</v>
      </c>
      <c r="D24" s="2522" t="s">
        <v>91</v>
      </c>
      <c r="E24" s="2522" t="s">
        <v>91</v>
      </c>
      <c r="F24" s="2523" t="s">
        <v>92</v>
      </c>
      <c r="G24" s="2522" t="s">
        <v>92</v>
      </c>
      <c r="H24" s="2522" t="s">
        <v>91</v>
      </c>
      <c r="I24" s="2522" t="s">
        <v>91</v>
      </c>
      <c r="J24" s="2522" t="s">
        <v>91</v>
      </c>
      <c r="K24" s="2523" t="s">
        <v>91</v>
      </c>
      <c r="L24" s="2522" t="s">
        <v>91</v>
      </c>
      <c r="M24" s="2522" t="s">
        <v>91</v>
      </c>
      <c r="N24" s="2537" t="s">
        <v>91</v>
      </c>
      <c r="O24" s="2682" t="s">
        <v>91</v>
      </c>
      <c r="P24" s="2682" t="s">
        <v>91</v>
      </c>
      <c r="Q24" s="2682" t="s">
        <v>91</v>
      </c>
      <c r="R24" s="2682" t="s">
        <v>91</v>
      </c>
      <c r="S24" s="2682" t="s">
        <v>91</v>
      </c>
      <c r="T24" s="2683" t="s">
        <v>91</v>
      </c>
      <c r="U24" s="2682" t="s">
        <v>91</v>
      </c>
      <c r="V24" s="2682" t="s">
        <v>91</v>
      </c>
      <c r="W24" s="2682" t="s">
        <v>91</v>
      </c>
      <c r="X24" s="2684" t="s">
        <v>117</v>
      </c>
      <c r="Y24" s="2684" t="s">
        <v>92</v>
      </c>
      <c r="Z24" s="2685" t="s">
        <v>91</v>
      </c>
      <c r="AA24" s="2682" t="s">
        <v>91</v>
      </c>
      <c r="AB24" s="2536" t="s">
        <v>92</v>
      </c>
      <c r="AC24" s="2682" t="s">
        <v>91</v>
      </c>
      <c r="AD24" s="2682" t="s">
        <v>91</v>
      </c>
      <c r="AE24" s="2685" t="s">
        <v>92</v>
      </c>
      <c r="AF24" s="2682" t="s">
        <v>91</v>
      </c>
      <c r="AG24" s="2683" t="s">
        <v>91</v>
      </c>
      <c r="AH24" s="2682" t="s">
        <v>91</v>
      </c>
      <c r="AI24" s="2682" t="s">
        <v>91</v>
      </c>
      <c r="AJ24" s="2682" t="s">
        <v>91</v>
      </c>
      <c r="AK24" s="2682" t="s">
        <v>91</v>
      </c>
      <c r="AL24" s="2683" t="s">
        <v>91</v>
      </c>
    </row>
    <row r="25" ht="18.75" customHeight="1">
      <c r="A25" s="158"/>
      <c r="B25" s="813"/>
      <c r="C25" s="2526" t="s">
        <v>282</v>
      </c>
      <c r="D25" s="2522" t="s">
        <v>91</v>
      </c>
      <c r="E25" s="2522" t="s">
        <v>91</v>
      </c>
      <c r="F25" s="2523" t="s">
        <v>92</v>
      </c>
      <c r="G25" s="2522" t="s">
        <v>92</v>
      </c>
      <c r="H25" s="2522" t="s">
        <v>91</v>
      </c>
      <c r="I25" s="2522" t="s">
        <v>91</v>
      </c>
      <c r="J25" s="2522" t="s">
        <v>91</v>
      </c>
      <c r="K25" s="2523" t="s">
        <v>91</v>
      </c>
      <c r="L25" s="2522" t="s">
        <v>91</v>
      </c>
      <c r="M25" s="2522" t="s">
        <v>91</v>
      </c>
      <c r="N25" s="2537" t="s">
        <v>91</v>
      </c>
      <c r="O25" s="2682" t="s">
        <v>91</v>
      </c>
      <c r="P25" s="2682" t="s">
        <v>91</v>
      </c>
      <c r="Q25" s="2682" t="s">
        <v>91</v>
      </c>
      <c r="R25" s="2682" t="s">
        <v>91</v>
      </c>
      <c r="S25" s="2682" t="s">
        <v>91</v>
      </c>
      <c r="T25" s="2683" t="s">
        <v>91</v>
      </c>
      <c r="U25" s="2682" t="s">
        <v>91</v>
      </c>
      <c r="V25" s="2682" t="s">
        <v>91</v>
      </c>
      <c r="W25" s="2682" t="s">
        <v>91</v>
      </c>
      <c r="X25" s="2682" t="s">
        <v>91</v>
      </c>
      <c r="Y25" s="2684" t="s">
        <v>92</v>
      </c>
      <c r="Z25" s="2685" t="s">
        <v>91</v>
      </c>
      <c r="AA25" s="2682" t="s">
        <v>91</v>
      </c>
      <c r="AB25" s="2536" t="s">
        <v>92</v>
      </c>
      <c r="AC25" s="2682" t="s">
        <v>91</v>
      </c>
      <c r="AD25" s="2682" t="s">
        <v>91</v>
      </c>
      <c r="AE25" s="2685" t="s">
        <v>92</v>
      </c>
      <c r="AF25" s="2682" t="s">
        <v>91</v>
      </c>
      <c r="AG25" s="2683" t="s">
        <v>91</v>
      </c>
      <c r="AH25" s="2682" t="s">
        <v>91</v>
      </c>
      <c r="AI25" s="2682" t="s">
        <v>91</v>
      </c>
      <c r="AJ25" s="2682" t="s">
        <v>91</v>
      </c>
      <c r="AK25" s="2682" t="s">
        <v>91</v>
      </c>
      <c r="AL25" s="2683" t="s">
        <v>91</v>
      </c>
    </row>
    <row r="26" ht="18.75" customHeight="1">
      <c r="A26" s="158"/>
      <c r="B26" s="813"/>
      <c r="C26" s="2526" t="s">
        <v>111</v>
      </c>
      <c r="D26" s="2522" t="s">
        <v>91</v>
      </c>
      <c r="E26" s="2522" t="s">
        <v>91</v>
      </c>
      <c r="F26" s="2523" t="s">
        <v>92</v>
      </c>
      <c r="G26" s="2522" t="s">
        <v>92</v>
      </c>
      <c r="H26" s="2522" t="s">
        <v>91</v>
      </c>
      <c r="I26" s="2522" t="s">
        <v>91</v>
      </c>
      <c r="J26" s="2522" t="s">
        <v>91</v>
      </c>
      <c r="K26" s="2523" t="s">
        <v>91</v>
      </c>
      <c r="L26" s="2522" t="s">
        <v>91</v>
      </c>
      <c r="M26" s="2522" t="s">
        <v>91</v>
      </c>
      <c r="N26" s="2537" t="s">
        <v>91</v>
      </c>
      <c r="O26" s="2692" t="s">
        <v>93</v>
      </c>
      <c r="P26" s="2692" t="s">
        <v>93</v>
      </c>
      <c r="Q26" s="2692" t="s">
        <v>93</v>
      </c>
      <c r="R26" s="2692" t="s">
        <v>93</v>
      </c>
      <c r="S26" s="2692" t="s">
        <v>93</v>
      </c>
      <c r="T26" s="2693" t="s">
        <v>93</v>
      </c>
      <c r="U26" s="2682" t="s">
        <v>91</v>
      </c>
      <c r="V26" s="2682" t="s">
        <v>91</v>
      </c>
      <c r="W26" s="2682" t="s">
        <v>91</v>
      </c>
      <c r="X26" s="2684" t="s">
        <v>117</v>
      </c>
      <c r="Y26" s="2684" t="s">
        <v>92</v>
      </c>
      <c r="Z26" s="2685" t="s">
        <v>91</v>
      </c>
      <c r="AA26" s="2682" t="s">
        <v>91</v>
      </c>
      <c r="AB26" s="2536" t="s">
        <v>92</v>
      </c>
      <c r="AC26" s="2682" t="s">
        <v>91</v>
      </c>
      <c r="AD26" s="2682" t="s">
        <v>91</v>
      </c>
      <c r="AE26" s="2685" t="s">
        <v>92</v>
      </c>
      <c r="AF26" s="2682" t="s">
        <v>91</v>
      </c>
      <c r="AG26" s="2683" t="s">
        <v>91</v>
      </c>
      <c r="AH26" s="2682" t="s">
        <v>91</v>
      </c>
      <c r="AI26" s="2682" t="s">
        <v>91</v>
      </c>
      <c r="AJ26" s="2682" t="s">
        <v>91</v>
      </c>
      <c r="AK26" s="2682" t="s">
        <v>91</v>
      </c>
      <c r="AL26" s="2683" t="s">
        <v>91</v>
      </c>
    </row>
    <row r="27" ht="18.75" customHeight="1">
      <c r="A27" s="158"/>
      <c r="B27" s="813"/>
      <c r="C27" s="2719" t="s">
        <v>1344</v>
      </c>
      <c r="D27" s="2522" t="s">
        <v>91</v>
      </c>
      <c r="E27" s="2522" t="s">
        <v>91</v>
      </c>
      <c r="F27" s="2523" t="s">
        <v>92</v>
      </c>
      <c r="G27" s="2522" t="s">
        <v>93</v>
      </c>
      <c r="H27" s="2522" t="s">
        <v>93</v>
      </c>
      <c r="I27" s="2522" t="s">
        <v>93</v>
      </c>
      <c r="J27" s="2522" t="s">
        <v>93</v>
      </c>
      <c r="K27" s="2523" t="s">
        <v>93</v>
      </c>
      <c r="L27" s="2522" t="s">
        <v>93</v>
      </c>
      <c r="M27" s="2522" t="s">
        <v>93</v>
      </c>
      <c r="N27" s="2528" t="s">
        <v>93</v>
      </c>
      <c r="O27" s="2694" t="s">
        <v>118</v>
      </c>
      <c r="P27" s="2699" t="s">
        <v>118</v>
      </c>
      <c r="Q27" s="2699" t="s">
        <v>118</v>
      </c>
      <c r="R27" s="2699" t="s">
        <v>118</v>
      </c>
      <c r="S27" s="2699" t="s">
        <v>118</v>
      </c>
      <c r="T27" s="2701" t="s">
        <v>118</v>
      </c>
      <c r="U27" s="2699" t="s">
        <v>118</v>
      </c>
      <c r="V27" s="2699" t="s">
        <v>118</v>
      </c>
      <c r="W27" s="2699" t="s">
        <v>118</v>
      </c>
      <c r="X27" s="2699" t="s">
        <v>118</v>
      </c>
      <c r="Y27" s="2699" t="s">
        <v>118</v>
      </c>
      <c r="Z27" s="2700" t="s">
        <v>118</v>
      </c>
      <c r="AA27" s="2699" t="s">
        <v>118</v>
      </c>
      <c r="AB27" s="2530" t="s">
        <v>118</v>
      </c>
      <c r="AC27" s="2699" t="s">
        <v>118</v>
      </c>
      <c r="AD27" s="2699" t="s">
        <v>118</v>
      </c>
      <c r="AE27" s="2700" t="s">
        <v>118</v>
      </c>
      <c r="AF27" s="2699" t="s">
        <v>118</v>
      </c>
      <c r="AG27" s="2701" t="s">
        <v>118</v>
      </c>
      <c r="AH27" s="2699" t="s">
        <v>118</v>
      </c>
      <c r="AI27" s="2699" t="s">
        <v>118</v>
      </c>
      <c r="AJ27" s="2699" t="s">
        <v>118</v>
      </c>
      <c r="AK27" s="2699" t="s">
        <v>118</v>
      </c>
      <c r="AL27" s="2701" t="s">
        <v>118</v>
      </c>
    </row>
    <row r="28" ht="18.75" customHeight="1">
      <c r="A28" s="158"/>
      <c r="B28" s="813"/>
      <c r="C28" s="2719" t="s">
        <v>1345</v>
      </c>
      <c r="D28" s="2522" t="s">
        <v>118</v>
      </c>
      <c r="E28" s="2522" t="s">
        <v>118</v>
      </c>
      <c r="F28" s="2523" t="s">
        <v>118</v>
      </c>
      <c r="G28" s="2694" t="s">
        <v>118</v>
      </c>
      <c r="H28" s="2522" t="s">
        <v>118</v>
      </c>
      <c r="I28" s="2522" t="s">
        <v>118</v>
      </c>
      <c r="J28" s="2522" t="s">
        <v>118</v>
      </c>
      <c r="K28" s="2523" t="s">
        <v>118</v>
      </c>
      <c r="L28" s="2522" t="s">
        <v>118</v>
      </c>
      <c r="M28" s="2522" t="s">
        <v>118</v>
      </c>
      <c r="N28" s="2523" t="s">
        <v>118</v>
      </c>
      <c r="O28" s="2682" t="s">
        <v>91</v>
      </c>
      <c r="P28" s="2682" t="s">
        <v>91</v>
      </c>
      <c r="Q28" s="2682" t="s">
        <v>91</v>
      </c>
      <c r="R28" s="2682" t="s">
        <v>91</v>
      </c>
      <c r="S28" s="2682" t="s">
        <v>91</v>
      </c>
      <c r="T28" s="2683" t="s">
        <v>91</v>
      </c>
      <c r="U28" s="2684" t="s">
        <v>92</v>
      </c>
      <c r="V28" s="2682" t="s">
        <v>91</v>
      </c>
      <c r="W28" s="2682" t="s">
        <v>91</v>
      </c>
      <c r="X28" s="2684" t="s">
        <v>92</v>
      </c>
      <c r="Y28" s="2684" t="s">
        <v>92</v>
      </c>
      <c r="Z28" s="2685" t="s">
        <v>91</v>
      </c>
      <c r="AA28" s="2682" t="s">
        <v>91</v>
      </c>
      <c r="AB28" s="2536" t="s">
        <v>92</v>
      </c>
      <c r="AC28" s="2682" t="s">
        <v>91</v>
      </c>
      <c r="AD28" s="2682" t="s">
        <v>91</v>
      </c>
      <c r="AE28" s="2700" t="s">
        <v>118</v>
      </c>
      <c r="AF28" s="2699" t="s">
        <v>118</v>
      </c>
      <c r="AG28" s="2701" t="s">
        <v>118</v>
      </c>
      <c r="AH28" s="2699" t="s">
        <v>118</v>
      </c>
      <c r="AI28" s="2699" t="s">
        <v>118</v>
      </c>
      <c r="AJ28" s="2699" t="s">
        <v>118</v>
      </c>
      <c r="AK28" s="2699" t="s">
        <v>118</v>
      </c>
      <c r="AL28" s="2701" t="s">
        <v>118</v>
      </c>
    </row>
    <row r="29" ht="18.75" customHeight="1">
      <c r="A29" s="158"/>
      <c r="B29" s="813"/>
      <c r="C29" s="2526" t="s">
        <v>260</v>
      </c>
      <c r="D29" s="2522" t="s">
        <v>118</v>
      </c>
      <c r="E29" s="2522" t="s">
        <v>118</v>
      </c>
      <c r="F29" s="2523" t="s">
        <v>118</v>
      </c>
      <c r="G29" s="2694" t="s">
        <v>118</v>
      </c>
      <c r="H29" s="2522" t="s">
        <v>118</v>
      </c>
      <c r="I29" s="2522" t="s">
        <v>118</v>
      </c>
      <c r="J29" s="2522" t="s">
        <v>118</v>
      </c>
      <c r="K29" s="2523" t="s">
        <v>118</v>
      </c>
      <c r="L29" s="2522" t="s">
        <v>118</v>
      </c>
      <c r="M29" s="2522" t="s">
        <v>118</v>
      </c>
      <c r="N29" s="2523" t="s">
        <v>118</v>
      </c>
      <c r="O29" s="2694" t="s">
        <v>118</v>
      </c>
      <c r="P29" s="2699" t="s">
        <v>118</v>
      </c>
      <c r="Q29" s="2699" t="s">
        <v>118</v>
      </c>
      <c r="R29" s="2699" t="s">
        <v>118</v>
      </c>
      <c r="S29" s="2699" t="s">
        <v>118</v>
      </c>
      <c r="T29" s="2701" t="s">
        <v>118</v>
      </c>
      <c r="U29" s="2699" t="s">
        <v>118</v>
      </c>
      <c r="V29" s="2699" t="s">
        <v>118</v>
      </c>
      <c r="W29" s="2699" t="s">
        <v>118</v>
      </c>
      <c r="X29" s="2699" t="s">
        <v>118</v>
      </c>
      <c r="Y29" s="2699" t="s">
        <v>118</v>
      </c>
      <c r="Z29" s="2700" t="s">
        <v>118</v>
      </c>
      <c r="AA29" s="2699" t="s">
        <v>118</v>
      </c>
      <c r="AB29" s="2530" t="s">
        <v>118</v>
      </c>
      <c r="AC29" s="2699" t="s">
        <v>118</v>
      </c>
      <c r="AD29" s="2699" t="s">
        <v>118</v>
      </c>
      <c r="AE29" s="2685" t="s">
        <v>92</v>
      </c>
      <c r="AF29" s="2682" t="s">
        <v>92</v>
      </c>
      <c r="AG29" s="2683" t="s">
        <v>91</v>
      </c>
      <c r="AH29" s="2682" t="s">
        <v>91</v>
      </c>
      <c r="AI29" s="2682" t="s">
        <v>91</v>
      </c>
      <c r="AJ29" s="2682" t="s">
        <v>91</v>
      </c>
      <c r="AK29" s="2682" t="s">
        <v>91</v>
      </c>
      <c r="AL29" s="2683" t="s">
        <v>91</v>
      </c>
    </row>
    <row r="30" ht="18.75" customHeight="1">
      <c r="A30" s="158"/>
      <c r="B30" s="813"/>
      <c r="C30" s="2719" t="s">
        <v>1348</v>
      </c>
      <c r="D30" s="2522" t="s">
        <v>91</v>
      </c>
      <c r="E30" s="2522" t="s">
        <v>91</v>
      </c>
      <c r="F30" s="2523" t="s">
        <v>92</v>
      </c>
      <c r="G30" s="2522" t="s">
        <v>93</v>
      </c>
      <c r="H30" s="2522" t="s">
        <v>93</v>
      </c>
      <c r="I30" s="2522" t="s">
        <v>93</v>
      </c>
      <c r="J30" s="2522" t="s">
        <v>93</v>
      </c>
      <c r="K30" s="2523" t="s">
        <v>93</v>
      </c>
      <c r="L30" s="2522" t="s">
        <v>93</v>
      </c>
      <c r="M30" s="2522" t="s">
        <v>93</v>
      </c>
      <c r="N30" s="2528" t="s">
        <v>93</v>
      </c>
      <c r="O30" s="2522" t="s">
        <v>118</v>
      </c>
      <c r="P30" s="2699" t="s">
        <v>118</v>
      </c>
      <c r="Q30" s="2699" t="s">
        <v>118</v>
      </c>
      <c r="R30" s="2699" t="s">
        <v>118</v>
      </c>
      <c r="S30" s="2699" t="s">
        <v>118</v>
      </c>
      <c r="T30" s="2701" t="s">
        <v>118</v>
      </c>
      <c r="U30" s="2699" t="s">
        <v>118</v>
      </c>
      <c r="V30" s="2699" t="s">
        <v>118</v>
      </c>
      <c r="W30" s="2699" t="s">
        <v>118</v>
      </c>
      <c r="X30" s="2699" t="s">
        <v>118</v>
      </c>
      <c r="Y30" s="2699" t="s">
        <v>118</v>
      </c>
      <c r="Z30" s="2700" t="s">
        <v>118</v>
      </c>
      <c r="AA30" s="2699" t="s">
        <v>118</v>
      </c>
      <c r="AB30" s="2530" t="s">
        <v>118</v>
      </c>
      <c r="AC30" s="2699" t="s">
        <v>118</v>
      </c>
      <c r="AD30" s="2699" t="s">
        <v>118</v>
      </c>
      <c r="AE30" s="2700" t="s">
        <v>118</v>
      </c>
      <c r="AF30" s="2699" t="s">
        <v>118</v>
      </c>
      <c r="AG30" s="2701" t="s">
        <v>118</v>
      </c>
      <c r="AH30" s="2699" t="s">
        <v>118</v>
      </c>
      <c r="AI30" s="2699" t="s">
        <v>118</v>
      </c>
      <c r="AJ30" s="2699" t="s">
        <v>118</v>
      </c>
      <c r="AK30" s="2699" t="s">
        <v>118</v>
      </c>
      <c r="AL30" s="2701" t="s">
        <v>118</v>
      </c>
    </row>
    <row r="31" ht="18.75" customHeight="1">
      <c r="A31" s="158"/>
      <c r="B31" s="813"/>
      <c r="C31" s="2526" t="s">
        <v>25</v>
      </c>
      <c r="D31" s="2522" t="s">
        <v>118</v>
      </c>
      <c r="E31" s="2522" t="s">
        <v>118</v>
      </c>
      <c r="F31" s="2523" t="s">
        <v>118</v>
      </c>
      <c r="G31" s="2694" t="s">
        <v>118</v>
      </c>
      <c r="H31" s="2522" t="s">
        <v>118</v>
      </c>
      <c r="I31" s="2522" t="s">
        <v>118</v>
      </c>
      <c r="J31" s="2522" t="s">
        <v>118</v>
      </c>
      <c r="K31" s="2523" t="s">
        <v>118</v>
      </c>
      <c r="L31" s="2522" t="s">
        <v>118</v>
      </c>
      <c r="M31" s="2522" t="s">
        <v>118</v>
      </c>
      <c r="N31" s="2523" t="s">
        <v>118</v>
      </c>
      <c r="O31" s="2682" t="s">
        <v>91</v>
      </c>
      <c r="P31" s="2682" t="s">
        <v>91</v>
      </c>
      <c r="Q31" s="2682" t="s">
        <v>91</v>
      </c>
      <c r="R31" s="2682" t="s">
        <v>91</v>
      </c>
      <c r="S31" s="2682" t="s">
        <v>91</v>
      </c>
      <c r="T31" s="2683" t="s">
        <v>91</v>
      </c>
      <c r="U31" s="2682" t="s">
        <v>91</v>
      </c>
      <c r="V31" s="2682" t="s">
        <v>91</v>
      </c>
      <c r="W31" s="2682" t="s">
        <v>91</v>
      </c>
      <c r="X31" s="2684" t="s">
        <v>92</v>
      </c>
      <c r="Y31" s="2684" t="s">
        <v>92</v>
      </c>
      <c r="Z31" s="2685" t="s">
        <v>91</v>
      </c>
      <c r="AA31" s="2682" t="s">
        <v>91</v>
      </c>
      <c r="AB31" s="2536" t="s">
        <v>91</v>
      </c>
      <c r="AC31" s="2682" t="s">
        <v>91</v>
      </c>
      <c r="AD31" s="2682" t="s">
        <v>91</v>
      </c>
      <c r="AE31" s="2685" t="s">
        <v>92</v>
      </c>
      <c r="AF31" s="2682" t="s">
        <v>91</v>
      </c>
      <c r="AG31" s="2683" t="s">
        <v>91</v>
      </c>
      <c r="AH31" s="2682" t="s">
        <v>91</v>
      </c>
      <c r="AI31" s="2682" t="s">
        <v>91</v>
      </c>
      <c r="AJ31" s="2682" t="s">
        <v>91</v>
      </c>
      <c r="AK31" s="2682" t="s">
        <v>91</v>
      </c>
      <c r="AL31" s="2683" t="s">
        <v>91</v>
      </c>
    </row>
    <row r="32" ht="18.75" customHeight="1">
      <c r="A32" s="158"/>
      <c r="B32" s="813"/>
      <c r="C32" s="2526" t="s">
        <v>1347</v>
      </c>
      <c r="D32" s="2522" t="s">
        <v>91</v>
      </c>
      <c r="E32" s="2522" t="s">
        <v>117</v>
      </c>
      <c r="F32" s="2523" t="s">
        <v>92</v>
      </c>
      <c r="G32" s="2522" t="s">
        <v>92</v>
      </c>
      <c r="H32" s="2522" t="s">
        <v>91</v>
      </c>
      <c r="I32" s="2522" t="s">
        <v>91</v>
      </c>
      <c r="J32" s="2522" t="s">
        <v>91</v>
      </c>
      <c r="K32" s="2523" t="s">
        <v>91</v>
      </c>
      <c r="L32" s="2522" t="s">
        <v>91</v>
      </c>
      <c r="M32" s="2522" t="s">
        <v>91</v>
      </c>
      <c r="N32" s="2537" t="s">
        <v>91</v>
      </c>
      <c r="O32" s="2682" t="s">
        <v>91</v>
      </c>
      <c r="P32" s="2682" t="s">
        <v>91</v>
      </c>
      <c r="Q32" s="2682" t="s">
        <v>91</v>
      </c>
      <c r="R32" s="2682" t="s">
        <v>91</v>
      </c>
      <c r="S32" s="2682" t="s">
        <v>91</v>
      </c>
      <c r="T32" s="2683" t="s">
        <v>91</v>
      </c>
      <c r="U32" s="2682" t="s">
        <v>91</v>
      </c>
      <c r="V32" s="2682" t="s">
        <v>91</v>
      </c>
      <c r="W32" s="2682" t="s">
        <v>91</v>
      </c>
      <c r="X32" s="2684" t="s">
        <v>117</v>
      </c>
      <c r="Y32" s="2684" t="s">
        <v>92</v>
      </c>
      <c r="Z32" s="2685" t="s">
        <v>91</v>
      </c>
      <c r="AA32" s="2682" t="s">
        <v>91</v>
      </c>
      <c r="AB32" s="2536" t="s">
        <v>92</v>
      </c>
      <c r="AC32" s="2682" t="s">
        <v>91</v>
      </c>
      <c r="AD32" s="2682" t="s">
        <v>91</v>
      </c>
      <c r="AE32" s="2685" t="s">
        <v>92</v>
      </c>
      <c r="AF32" s="2682" t="s">
        <v>91</v>
      </c>
      <c r="AG32" s="2683" t="s">
        <v>91</v>
      </c>
      <c r="AH32" s="2682" t="s">
        <v>91</v>
      </c>
      <c r="AI32" s="2682" t="s">
        <v>91</v>
      </c>
      <c r="AJ32" s="2682" t="s">
        <v>91</v>
      </c>
      <c r="AK32" s="2682" t="s">
        <v>91</v>
      </c>
      <c r="AL32" s="2683" t="s">
        <v>91</v>
      </c>
    </row>
    <row r="33" ht="18.75" customHeight="1">
      <c r="A33" s="158"/>
      <c r="B33" s="968"/>
      <c r="C33" s="2720" t="s">
        <v>294</v>
      </c>
      <c r="D33" s="2522" t="s">
        <v>118</v>
      </c>
      <c r="E33" s="2522" t="s">
        <v>118</v>
      </c>
      <c r="F33" s="2523" t="s">
        <v>118</v>
      </c>
      <c r="G33" s="2694" t="s">
        <v>118</v>
      </c>
      <c r="H33" s="2522" t="s">
        <v>118</v>
      </c>
      <c r="I33" s="2522" t="s">
        <v>118</v>
      </c>
      <c r="J33" s="2522" t="s">
        <v>118</v>
      </c>
      <c r="K33" s="2523" t="s">
        <v>118</v>
      </c>
      <c r="L33" s="2522" t="s">
        <v>118</v>
      </c>
      <c r="M33" s="2522" t="s">
        <v>118</v>
      </c>
      <c r="N33" s="2523" t="s">
        <v>118</v>
      </c>
      <c r="O33" s="2522" t="s">
        <v>118</v>
      </c>
      <c r="P33" s="2699" t="s">
        <v>118</v>
      </c>
      <c r="Q33" s="2699" t="s">
        <v>118</v>
      </c>
      <c r="R33" s="2699" t="s">
        <v>118</v>
      </c>
      <c r="S33" s="2699" t="s">
        <v>118</v>
      </c>
      <c r="T33" s="2701" t="s">
        <v>118</v>
      </c>
      <c r="U33" s="2699" t="s">
        <v>118</v>
      </c>
      <c r="V33" s="2699" t="s">
        <v>118</v>
      </c>
      <c r="W33" s="2699" t="s">
        <v>118</v>
      </c>
      <c r="X33" s="2699" t="s">
        <v>118</v>
      </c>
      <c r="Y33" s="2699" t="s">
        <v>118</v>
      </c>
      <c r="Z33" s="2700" t="s">
        <v>118</v>
      </c>
      <c r="AA33" s="2699" t="s">
        <v>118</v>
      </c>
      <c r="AB33" s="2530" t="s">
        <v>118</v>
      </c>
      <c r="AC33" s="2699" t="s">
        <v>118</v>
      </c>
      <c r="AD33" s="2699" t="s">
        <v>118</v>
      </c>
      <c r="AE33" s="2685" t="s">
        <v>92</v>
      </c>
      <c r="AF33" s="2682" t="s">
        <v>91</v>
      </c>
      <c r="AG33" s="2683" t="s">
        <v>91</v>
      </c>
      <c r="AH33" s="2682" t="s">
        <v>91</v>
      </c>
      <c r="AI33" s="2682" t="s">
        <v>91</v>
      </c>
      <c r="AJ33" s="2682" t="s">
        <v>91</v>
      </c>
      <c r="AK33" s="2682" t="s">
        <v>91</v>
      </c>
      <c r="AL33" s="2683" t="s">
        <v>91</v>
      </c>
    </row>
    <row r="34" ht="18.75" customHeight="1">
      <c r="A34" s="158"/>
      <c r="B34" s="2546" t="s">
        <v>255</v>
      </c>
      <c r="C34" s="2547" t="s">
        <v>308</v>
      </c>
      <c r="D34" s="2522" t="s">
        <v>91</v>
      </c>
      <c r="E34" s="2522" t="s">
        <v>91</v>
      </c>
      <c r="F34" s="2523" t="s">
        <v>92</v>
      </c>
      <c r="G34" s="2522" t="s">
        <v>93</v>
      </c>
      <c r="H34" s="2522" t="s">
        <v>93</v>
      </c>
      <c r="I34" s="2522" t="s">
        <v>93</v>
      </c>
      <c r="J34" s="2522" t="s">
        <v>93</v>
      </c>
      <c r="K34" s="2523" t="s">
        <v>93</v>
      </c>
      <c r="L34" s="2522" t="s">
        <v>93</v>
      </c>
      <c r="M34" s="2522" t="s">
        <v>93</v>
      </c>
      <c r="N34" s="2528" t="s">
        <v>93</v>
      </c>
      <c r="O34" s="2721" t="s">
        <v>91</v>
      </c>
      <c r="P34" s="2534" t="s">
        <v>91</v>
      </c>
      <c r="Q34" s="2534" t="s">
        <v>91</v>
      </c>
      <c r="R34" s="2534" t="s">
        <v>91</v>
      </c>
      <c r="S34" s="2534" t="s">
        <v>91</v>
      </c>
      <c r="T34" s="2722" t="s">
        <v>92</v>
      </c>
      <c r="U34" s="2682" t="s">
        <v>91</v>
      </c>
      <c r="V34" s="2684" t="s">
        <v>92</v>
      </c>
      <c r="W34" s="2682" t="s">
        <v>91</v>
      </c>
      <c r="X34" s="2684" t="s">
        <v>92</v>
      </c>
      <c r="Y34" s="2684" t="s">
        <v>92</v>
      </c>
      <c r="Z34" s="2685" t="s">
        <v>91</v>
      </c>
      <c r="AA34" s="2682" t="s">
        <v>91</v>
      </c>
      <c r="AB34" s="2536" t="s">
        <v>91</v>
      </c>
      <c r="AC34" s="2682" t="s">
        <v>92</v>
      </c>
      <c r="AD34" s="2682" t="s">
        <v>91</v>
      </c>
      <c r="AE34" s="2691" t="s">
        <v>93</v>
      </c>
      <c r="AF34" s="2692" t="s">
        <v>93</v>
      </c>
      <c r="AG34" s="2693" t="s">
        <v>93</v>
      </c>
      <c r="AH34" s="2682" t="s">
        <v>91</v>
      </c>
      <c r="AI34" s="2682" t="s">
        <v>91</v>
      </c>
      <c r="AJ34" s="2682" t="s">
        <v>92</v>
      </c>
      <c r="AK34" s="2682" t="s">
        <v>91</v>
      </c>
      <c r="AL34" s="2683" t="s">
        <v>92</v>
      </c>
    </row>
    <row r="35" ht="18.75" customHeight="1">
      <c r="A35" s="158"/>
      <c r="B35" s="158"/>
      <c r="C35" s="2548" t="s">
        <v>201</v>
      </c>
      <c r="D35" s="2522" t="s">
        <v>91</v>
      </c>
      <c r="E35" s="2522" t="s">
        <v>91</v>
      </c>
      <c r="F35" s="2523" t="s">
        <v>92</v>
      </c>
      <c r="G35" s="2522" t="s">
        <v>91</v>
      </c>
      <c r="H35" s="2522" t="s">
        <v>91</v>
      </c>
      <c r="I35" s="2522" t="s">
        <v>91</v>
      </c>
      <c r="J35" s="2522" t="s">
        <v>91</v>
      </c>
      <c r="K35" s="2523" t="s">
        <v>91</v>
      </c>
      <c r="L35" s="2522" t="s">
        <v>93</v>
      </c>
      <c r="M35" s="2522" t="s">
        <v>93</v>
      </c>
      <c r="N35" s="2528" t="s">
        <v>93</v>
      </c>
      <c r="O35" s="2682" t="s">
        <v>91</v>
      </c>
      <c r="P35" s="2682" t="s">
        <v>91</v>
      </c>
      <c r="Q35" s="2682" t="s">
        <v>91</v>
      </c>
      <c r="R35" s="2682" t="s">
        <v>91</v>
      </c>
      <c r="S35" s="2682" t="s">
        <v>91</v>
      </c>
      <c r="T35" s="2681" t="s">
        <v>92</v>
      </c>
      <c r="U35" s="2682" t="s">
        <v>91</v>
      </c>
      <c r="V35" s="2684" t="s">
        <v>92</v>
      </c>
      <c r="W35" s="2682" t="s">
        <v>91</v>
      </c>
      <c r="X35" s="2684" t="s">
        <v>117</v>
      </c>
      <c r="Y35" s="2684" t="s">
        <v>92</v>
      </c>
      <c r="Z35" s="2685" t="s">
        <v>91</v>
      </c>
      <c r="AA35" s="2682" t="s">
        <v>91</v>
      </c>
      <c r="AB35" s="2536" t="s">
        <v>91</v>
      </c>
      <c r="AC35" s="2682" t="s">
        <v>92</v>
      </c>
      <c r="AD35" s="2682" t="s">
        <v>91</v>
      </c>
      <c r="AE35" s="2691" t="s">
        <v>93</v>
      </c>
      <c r="AF35" s="2692" t="s">
        <v>93</v>
      </c>
      <c r="AG35" s="2693" t="s">
        <v>93</v>
      </c>
      <c r="AH35" s="2682" t="s">
        <v>93</v>
      </c>
      <c r="AI35" s="2682" t="s">
        <v>93</v>
      </c>
      <c r="AJ35" s="2682" t="s">
        <v>93</v>
      </c>
      <c r="AK35" s="2682" t="s">
        <v>93</v>
      </c>
      <c r="AL35" s="2683" t="s">
        <v>93</v>
      </c>
    </row>
    <row r="36" ht="18.75" customHeight="1">
      <c r="A36" s="158"/>
      <c r="B36" s="168"/>
      <c r="C36" s="2548" t="s">
        <v>48</v>
      </c>
      <c r="D36" s="2522" t="s">
        <v>91</v>
      </c>
      <c r="E36" s="2522" t="s">
        <v>91</v>
      </c>
      <c r="F36" s="2523" t="s">
        <v>92</v>
      </c>
      <c r="G36" s="2522" t="s">
        <v>91</v>
      </c>
      <c r="H36" s="2522" t="s">
        <v>91</v>
      </c>
      <c r="I36" s="2522" t="s">
        <v>91</v>
      </c>
      <c r="J36" s="2522" t="s">
        <v>91</v>
      </c>
      <c r="K36" s="2523" t="s">
        <v>91</v>
      </c>
      <c r="L36" s="2522" t="s">
        <v>92</v>
      </c>
      <c r="M36" s="2522" t="s">
        <v>92</v>
      </c>
      <c r="N36" s="2681" t="s">
        <v>92</v>
      </c>
      <c r="O36" s="2682" t="s">
        <v>91</v>
      </c>
      <c r="P36" s="2682" t="s">
        <v>91</v>
      </c>
      <c r="Q36" s="2682" t="s">
        <v>91</v>
      </c>
      <c r="R36" s="2682" t="s">
        <v>91</v>
      </c>
      <c r="S36" s="2682" t="s">
        <v>91</v>
      </c>
      <c r="T36" s="2681" t="s">
        <v>92</v>
      </c>
      <c r="U36" s="2682" t="s">
        <v>91</v>
      </c>
      <c r="V36" s="2684" t="s">
        <v>92</v>
      </c>
      <c r="W36" s="2682" t="s">
        <v>91</v>
      </c>
      <c r="X36" s="2684" t="s">
        <v>92</v>
      </c>
      <c r="Y36" s="2684" t="s">
        <v>117</v>
      </c>
      <c r="Z36" s="2685" t="s">
        <v>91</v>
      </c>
      <c r="AA36" s="2682" t="s">
        <v>91</v>
      </c>
      <c r="AB36" s="2536" t="s">
        <v>91</v>
      </c>
      <c r="AC36" s="2682" t="s">
        <v>92</v>
      </c>
      <c r="AD36" s="2682" t="s">
        <v>91</v>
      </c>
      <c r="AE36" s="2685" t="s">
        <v>91</v>
      </c>
      <c r="AF36" s="2682" t="s">
        <v>92</v>
      </c>
      <c r="AG36" s="2683" t="s">
        <v>91</v>
      </c>
      <c r="AH36" s="2682" t="s">
        <v>91</v>
      </c>
      <c r="AI36" s="2682" t="s">
        <v>91</v>
      </c>
      <c r="AJ36" s="2682" t="s">
        <v>92</v>
      </c>
      <c r="AK36" s="2682" t="s">
        <v>91</v>
      </c>
      <c r="AL36" s="2683" t="s">
        <v>92</v>
      </c>
    </row>
    <row r="37" ht="18.75" customHeight="1">
      <c r="A37" s="158"/>
      <c r="B37" s="2723" t="s">
        <v>1303</v>
      </c>
      <c r="C37" s="2569" t="s">
        <v>1305</v>
      </c>
      <c r="D37" s="2522" t="s">
        <v>92</v>
      </c>
      <c r="E37" s="2522" t="s">
        <v>91</v>
      </c>
      <c r="F37" s="2523" t="s">
        <v>91</v>
      </c>
      <c r="G37" s="2522" t="s">
        <v>92</v>
      </c>
      <c r="H37" s="2522" t="s">
        <v>91</v>
      </c>
      <c r="I37" s="2522" t="s">
        <v>91</v>
      </c>
      <c r="J37" s="2522" t="s">
        <v>91</v>
      </c>
      <c r="K37" s="2523" t="s">
        <v>91</v>
      </c>
      <c r="L37" s="2522" t="s">
        <v>93</v>
      </c>
      <c r="M37" s="2522" t="s">
        <v>93</v>
      </c>
      <c r="N37" s="2528" t="s">
        <v>93</v>
      </c>
      <c r="O37" s="2692" t="s">
        <v>93</v>
      </c>
      <c r="P37" s="2692" t="s">
        <v>93</v>
      </c>
      <c r="Q37" s="2692" t="s">
        <v>93</v>
      </c>
      <c r="R37" s="2692" t="s">
        <v>93</v>
      </c>
      <c r="S37" s="2692" t="s">
        <v>93</v>
      </c>
      <c r="T37" s="2693" t="s">
        <v>93</v>
      </c>
      <c r="U37" s="2682" t="s">
        <v>91</v>
      </c>
      <c r="V37" s="2684" t="s">
        <v>92</v>
      </c>
      <c r="W37" s="2684" t="s">
        <v>92</v>
      </c>
      <c r="X37" s="2684" t="s">
        <v>92</v>
      </c>
      <c r="Y37" s="2684" t="s">
        <v>92</v>
      </c>
      <c r="Z37" s="2691" t="s">
        <v>93</v>
      </c>
      <c r="AA37" s="2692" t="s">
        <v>93</v>
      </c>
      <c r="AB37" s="2527" t="s">
        <v>93</v>
      </c>
      <c r="AC37" s="2692" t="s">
        <v>93</v>
      </c>
      <c r="AD37" s="2692" t="s">
        <v>93</v>
      </c>
      <c r="AE37" s="2685" t="s">
        <v>92</v>
      </c>
      <c r="AF37" s="2682" t="s">
        <v>92</v>
      </c>
      <c r="AG37" s="2683" t="s">
        <v>92</v>
      </c>
      <c r="AH37" s="2682" t="s">
        <v>92</v>
      </c>
      <c r="AI37" s="2682" t="s">
        <v>92</v>
      </c>
      <c r="AJ37" s="2682" t="s">
        <v>92</v>
      </c>
      <c r="AK37" s="2682" t="s">
        <v>91</v>
      </c>
      <c r="AL37" s="2683" t="s">
        <v>92</v>
      </c>
    </row>
    <row r="38" ht="18.75" customHeight="1">
      <c r="A38" s="158"/>
      <c r="B38" s="2549" t="s">
        <v>258</v>
      </c>
      <c r="C38" s="2550" t="s">
        <v>176</v>
      </c>
      <c r="D38" s="2522" t="s">
        <v>91</v>
      </c>
      <c r="E38" s="2522" t="s">
        <v>91</v>
      </c>
      <c r="F38" s="2523" t="s">
        <v>91</v>
      </c>
      <c r="G38" s="2522" t="s">
        <v>92</v>
      </c>
      <c r="H38" s="2522" t="s">
        <v>91</v>
      </c>
      <c r="I38" s="2522" t="s">
        <v>91</v>
      </c>
      <c r="J38" s="2522" t="s">
        <v>91</v>
      </c>
      <c r="K38" s="2523" t="s">
        <v>91</v>
      </c>
      <c r="L38" s="2522" t="s">
        <v>91</v>
      </c>
      <c r="M38" s="2522" t="s">
        <v>91</v>
      </c>
      <c r="N38" s="2537" t="s">
        <v>91</v>
      </c>
      <c r="O38" s="2682" t="s">
        <v>91</v>
      </c>
      <c r="P38" s="2682" t="s">
        <v>91</v>
      </c>
      <c r="Q38" s="2522" t="s">
        <v>117</v>
      </c>
      <c r="R38" s="2682" t="s">
        <v>91</v>
      </c>
      <c r="S38" s="2682" t="s">
        <v>91</v>
      </c>
      <c r="T38" s="2683" t="s">
        <v>91</v>
      </c>
      <c r="U38" s="2684" t="s">
        <v>92</v>
      </c>
      <c r="V38" s="2682" t="s">
        <v>91</v>
      </c>
      <c r="W38" s="2682" t="s">
        <v>91</v>
      </c>
      <c r="X38" s="2682" t="s">
        <v>91</v>
      </c>
      <c r="Y38" s="2682" t="s">
        <v>91</v>
      </c>
      <c r="Z38" s="2685" t="s">
        <v>91</v>
      </c>
      <c r="AA38" s="2682" t="s">
        <v>91</v>
      </c>
      <c r="AB38" s="2536" t="s">
        <v>92</v>
      </c>
      <c r="AC38" s="2682" t="s">
        <v>92</v>
      </c>
      <c r="AD38" s="2682" t="s">
        <v>91</v>
      </c>
      <c r="AE38" s="2685" t="s">
        <v>92</v>
      </c>
      <c r="AF38" s="2682" t="s">
        <v>91</v>
      </c>
      <c r="AG38" s="2683" t="s">
        <v>91</v>
      </c>
      <c r="AH38" s="2682" t="s">
        <v>91</v>
      </c>
      <c r="AI38" s="2682" t="s">
        <v>91</v>
      </c>
      <c r="AJ38" s="2682" t="s">
        <v>91</v>
      </c>
      <c r="AK38" s="2682" t="s">
        <v>91</v>
      </c>
      <c r="AL38" s="2683" t="s">
        <v>91</v>
      </c>
    </row>
    <row r="39" ht="18.75" customHeight="1">
      <c r="A39" s="158"/>
      <c r="B39" s="2724" t="s">
        <v>274</v>
      </c>
      <c r="C39" s="2725" t="s">
        <v>101</v>
      </c>
      <c r="D39" s="2522" t="s">
        <v>91</v>
      </c>
      <c r="E39" s="2522" t="s">
        <v>91</v>
      </c>
      <c r="F39" s="2523" t="s">
        <v>92</v>
      </c>
      <c r="G39" s="2522" t="s">
        <v>91</v>
      </c>
      <c r="H39" s="2522" t="s">
        <v>91</v>
      </c>
      <c r="I39" s="2522" t="s">
        <v>91</v>
      </c>
      <c r="J39" s="2522" t="s">
        <v>92</v>
      </c>
      <c r="K39" s="2523" t="s">
        <v>92</v>
      </c>
      <c r="L39" s="2522" t="s">
        <v>92</v>
      </c>
      <c r="M39" s="2522" t="s">
        <v>92</v>
      </c>
      <c r="N39" s="2726" t="s">
        <v>92</v>
      </c>
      <c r="O39" s="2682" t="s">
        <v>91</v>
      </c>
      <c r="P39" s="2682" t="s">
        <v>91</v>
      </c>
      <c r="Q39" s="2682" t="s">
        <v>91</v>
      </c>
      <c r="R39" s="2682" t="s">
        <v>91</v>
      </c>
      <c r="S39" s="2682" t="s">
        <v>91</v>
      </c>
      <c r="T39" s="2523" t="s">
        <v>117</v>
      </c>
      <c r="U39" s="2727" t="s">
        <v>91</v>
      </c>
      <c r="V39" s="2728" t="s">
        <v>92</v>
      </c>
      <c r="W39" s="2727" t="s">
        <v>91</v>
      </c>
      <c r="X39" s="2728" t="s">
        <v>92</v>
      </c>
      <c r="Y39" s="2729" t="s">
        <v>92</v>
      </c>
      <c r="Z39" s="2730" t="s">
        <v>91</v>
      </c>
      <c r="AA39" s="2727" t="s">
        <v>91</v>
      </c>
      <c r="AB39" s="2572" t="s">
        <v>91</v>
      </c>
      <c r="AC39" s="2727" t="s">
        <v>92</v>
      </c>
      <c r="AD39" s="2727" t="s">
        <v>91</v>
      </c>
      <c r="AE39" s="2730" t="s">
        <v>91</v>
      </c>
      <c r="AF39" s="2727" t="s">
        <v>92</v>
      </c>
      <c r="AG39" s="2731" t="s">
        <v>91</v>
      </c>
      <c r="AH39" s="2727" t="s">
        <v>91</v>
      </c>
      <c r="AI39" s="2727" t="s">
        <v>91</v>
      </c>
      <c r="AJ39" s="2727" t="s">
        <v>92</v>
      </c>
      <c r="AK39" s="2727" t="s">
        <v>91</v>
      </c>
      <c r="AL39" s="2731" t="s">
        <v>92</v>
      </c>
    </row>
    <row r="40" ht="11.25" customHeight="1">
      <c r="A40" s="2576"/>
      <c r="B40" s="2577"/>
      <c r="C40" s="2732"/>
      <c r="D40" s="2253" t="str">
        <f t="shared" ref="D40:AL40" si="2">CONCATENATE("{""status"": ", IF(GT(D41, D42), """aangenomen""", """verworpen"""), ", ""title"": """, D5, """, ""url"": """,D23  , """, ""voor"":", D41,", ""tegen"": ", D42, ", ""onthouden"":", D43, "}")</f>
        <v>{"status": "aangenomen", "title": "M0051", "url": "https://www.reddit.com/r/RMTK/comments/bldkk7", "voor":24, "tegen": 1, "onthouden":0}</v>
      </c>
      <c r="E40" s="2253" t="str">
        <f t="shared" si="2"/>
        <v>{"status": "aangenomen", "title": "W0018", "url": "https://www.reddit.com/r/RMTK/comments/bj9hku", "voor":24, "tegen": 0, "onthouden":1}</v>
      </c>
      <c r="F40" s="2253" t="str">
        <f t="shared" si="2"/>
        <v>{"status": "aangenomen", "title": "W0019-I", "url": "https://www.reddit.com/r/RMTK/comments/bluekl", "voor":15, "tegen": 10, "onthouden":0}</v>
      </c>
      <c r="G40" s="2253" t="str">
        <f t="shared" si="2"/>
        <v>{"status": "verworpen", "title": "M0052", "url": "https://www.reddit.com/r/RMTK/comments/bo84o0", "voor":3, "tegen": 19, "onthouden":0}</v>
      </c>
      <c r="H40" s="2253" t="str">
        <f t="shared" si="2"/>
        <v>{"status": "aangenomen", "title": "M0053", "url": "https://www.reddit.com/r/RMTK/comments/bolxzd", "voor":15, "tegen": 5, "onthouden":2}</v>
      </c>
      <c r="I40" s="2253" t="str">
        <f t="shared" si="2"/>
        <v>{"status": "verworpen", "title": "M0054", "url": "https://www.reddit.com/r/RMTK/comments/bp1yrt", "voor":9, "tegen": 13, "onthouden":0}</v>
      </c>
      <c r="J40" s="2253" t="str">
        <f t="shared" si="2"/>
        <v>{"status": "aangenomen", "title": "M0055", "url": "https://www.reddit.com/r/RMTK/comments/bpg279", "voor":13, "tegen": 9, "onthouden":0}</v>
      </c>
      <c r="K40" s="2253" t="str">
        <f t="shared" si="2"/>
        <v>{"status": "aangenomen", "title": "W0019", "url": "https://www.reddit.com/r/RMTK/comments/bjlxhu", "voor":21, "tegen": 1, "onthouden":0}</v>
      </c>
      <c r="L40" s="2253" t="str">
        <f t="shared" si="2"/>
        <v>{"status": "verworpen", "title": "M0056", "url": "https://www.reddit.com/r/RMTK/comments/bqyh4h", "voor":5, "tegen": 14, "onthouden":0}</v>
      </c>
      <c r="M40" s="2253" t="str">
        <f t="shared" si="2"/>
        <v>{"status": "aangenomen", "title": "M0057", "url": "https://www.reddit.com/r/RMTK/comments/bre7w0", "voor":15, "tegen": 3, "onthouden":1}</v>
      </c>
      <c r="N40" s="2254" t="str">
        <f t="shared" si="2"/>
        <v>{"status": "verworpen", "title": "M0058", "url": "https://www.reddit.com/r/RMTK/comments/bsdur4", "voor":5, "tegen": 14, "onthouden":0}</v>
      </c>
      <c r="O40" s="2580" t="str">
        <f t="shared" si="2"/>
        <v>{"status": "verworpen", "title": "M0059", "url": "https://www.reddit.com/r/RMTK/comments/btpiig", "voor":10, "tegen": 13, "onthouden":0}</v>
      </c>
      <c r="P40" s="2580" t="str">
        <f t="shared" si="2"/>
        <v>{"status": "verworpen", "title": "M0060", "url": "https://www.reddit.com/r/RMTK/comments/bu3gzh", "voor":11, "tegen": 12, "onthouden":0}</v>
      </c>
      <c r="Q40" s="2581" t="str">
        <f t="shared" si="2"/>
        <v>{"status": "aangenomen", "title": "M0061", "url": "https://www.reddit.com/r/RMTK/comments/buj9zq", "voor":11, "tegen": 10, "onthouden":2}</v>
      </c>
      <c r="R40" s="2581" t="str">
        <f t="shared" si="2"/>
        <v>{"status": "aangenomen", "title": "M0062", "url": "https://www.reddit.com/r/RMTK/comments/buv49l", "voor":22, "tegen": 1, "onthouden":0}</v>
      </c>
      <c r="S40" s="2581" t="str">
        <f t="shared" si="2"/>
        <v>{"status": "aangenomen", "title": "M0063", "url": "https://www.reddit.com/r/RMTK/comments/buw274", "voor":19, "tegen": 2, "onthouden":2}</v>
      </c>
      <c r="T40" s="2581" t="str">
        <f t="shared" si="2"/>
        <v>{"status": "aangenomen", "title": "W0020", "url": "https://www.reddit.com/r/RMTK/comments/bu3zq8", "voor":19, "tegen": 3, "onthouden":1}</v>
      </c>
      <c r="U40" s="2733" t="str">
        <f t="shared" si="2"/>
        <v>{"status": "verworpen", "title": "M0064", "url": "https://www.reddit.com/r/RMTK/comments/bwsh5f", "voor":10, "tegen": 14, "onthouden":0}</v>
      </c>
      <c r="V40" s="2733" t="str">
        <f t="shared" si="2"/>
        <v>{"status": "verworpen", "title": "M0065", "url": "https://www.reddit.com/r/RMTK/comments/bx5ji9", "voor":7, "tegen": 16, "onthouden":1}</v>
      </c>
      <c r="W40" s="2733" t="str">
        <f t="shared" si="2"/>
        <v>{"status": "aangenomen", "title": "M0066", "url": "https://www.reddit.com/r/RMTK/comments/bxlc67", "voor":22, "tegen": 2, "onthouden":0}</v>
      </c>
      <c r="X40" s="2733" t="str">
        <f t="shared" si="2"/>
        <v>{"status": "aangenomen", "title": "W0021", "url": "https://www.reddit.com/r/RMTK/comments/bwf39d", "voor":14, "tegen": 6, "onthouden":4}</v>
      </c>
      <c r="Y40" s="2733" t="str">
        <f t="shared" si="2"/>
        <v>{"status": "aangenomen", "title": "W0022", "url": "https://www.reddit.com/r/RMTK/comments/bwr7df", "voor":13, "tegen": 10, "onthouden":1}</v>
      </c>
      <c r="Z40" s="2733" t="str">
        <f t="shared" si="2"/>
        <v>{"status": "aangenomen", "title": "M0068", "url": "https://www.reddit.com/r/RMTK/comments/bz0k2u", "voor":13, "tegen": 10, "onthouden":0}</v>
      </c>
      <c r="AA40" s="2733" t="str">
        <f t="shared" si="2"/>
        <v>{"status": "aangenomen", "title": "M0069", "url": "https://www.reddit.com/r/RMTK/comments/bztdwa", "voor":22, "tegen": 1, "onthouden":0}</v>
      </c>
      <c r="AB40" s="2733" t="str">
        <f t="shared" si="2"/>
        <v>{"status": "verworpen", "title": "M0070", "url": "https://www.reddit.com/r/RMTK/comments/bzupg1", "voor":5, "tegen": 18, "onthouden":0}</v>
      </c>
      <c r="AC40" s="2733" t="str">
        <f t="shared" si="2"/>
        <v>{"status": "verworpen", "title": "W0023-I", "url": "https://www.reddit.com/r/RMTK/comments/bzfz9f", "voor":6, "tegen": 17, "onthouden":0}</v>
      </c>
      <c r="AD40" s="2733" t="str">
        <f t="shared" si="2"/>
        <v>{"status": "aangenomen", "title": "W0024", "url": "https://www.reddit.com/r/RMTK/comments/c09536", "voor":23, "tegen": 0, "onthouden":0}</v>
      </c>
      <c r="AE40" s="2733" t="str">
        <f t="shared" si="2"/>
        <v>{"status": "aangenomen", "title": "W0023", "url": "https://reddit.com/r/RMTK/comments/bxktln/w0023_wetswijziging_tot_verandering_erfbelasting/", "voor":13, "tegen": 9, "onthouden":0}</v>
      </c>
      <c r="AF40" s="2733" t="str">
        <f t="shared" si="2"/>
        <v>{"status": "verworpen", "title": "W0026", "url": "https://reddit.com/r/RMTK/comments/c2juo6/w0026_wet_reclame_alcoholhoudende_dranken/", "voor":9, "tegen": 13, "onthouden":0}</v>
      </c>
      <c r="AG40" s="2733" t="str">
        <f t="shared" si="2"/>
        <v>{"status": "aangenomen", "title": "W0025-I", "url": "https://reddit.com/r/RMTK/comments/c2ykuk/w0025i_amendement_op_koepelwet_kerncentrales/", "voor":21, "tegen": 1, "onthouden":0}</v>
      </c>
      <c r="AH40" s="2733" t="str">
        <f t="shared" si="2"/>
        <v>{"status": "aangenomen", "title": "M0072", "url": "https://www.reddit.com/r/RMTK/comments/c5cgq4/m0072_motie_tot_betere_bereikbaarheid_zeeland/", "voor":18, "tegen": 3, "onthouden":0}</v>
      </c>
      <c r="AI40" s="2733" t="str">
        <f t="shared" si="2"/>
        <v>{"status": "aangenomen", "title": "M0073", "url": "https://www.reddit.com/r/RMTK/comments/c5sd9y/m0073_motie_tot_verbetering_internationaal/", "voor":20, "tegen": 1, "onthouden":0}</v>
      </c>
      <c r="AJ40" s="2733" t="str">
        <f t="shared" si="2"/>
        <v>{"status": "aangenomen", "title": "M0074", "url": "https://www.reddit.com/r/RMTK/comments/c67sej/m0074_motie_tot_onderzoek_doen_naar_milieuplafonds/", "voor":17, "tegen": 4, "onthouden":0}</v>
      </c>
      <c r="AK40" s="2733" t="str">
        <f t="shared" si="2"/>
        <v>{"status": "aangenomen", "title": "W0025", "url": "https://www.reddit.com/r/RMTK/comments/c26kl0/w0025_koepelwet_kerncentrales/", "voor":20, "tegen": 1, "onthouden":0}</v>
      </c>
      <c r="AL40" s="2733" t="str">
        <f t="shared" si="2"/>
        <v>{"status": "aangenomen", "title": "W0027", "url": "https://www.reddit.com/r/RMTK/comments/c4pqxl/w0027_wetswijziging_tot_verbieden_discriminatie/", "voor":17, "tegen": 4, "onthouden":0}</v>
      </c>
    </row>
    <row r="41" ht="18.0" customHeight="1">
      <c r="A41" s="2585" t="s">
        <v>119</v>
      </c>
      <c r="B41" s="2586" t="s">
        <v>91</v>
      </c>
      <c r="C41" s="44"/>
      <c r="D41" s="2587">
        <f t="shared" ref="D41:T41" si="3">COUNTIF(D5:D39,"Voor")</f>
        <v>24</v>
      </c>
      <c r="E41" s="2587">
        <f t="shared" si="3"/>
        <v>24</v>
      </c>
      <c r="F41" s="2587">
        <f t="shared" si="3"/>
        <v>15</v>
      </c>
      <c r="G41" s="2587">
        <f t="shared" si="3"/>
        <v>3</v>
      </c>
      <c r="H41" s="2587">
        <f t="shared" si="3"/>
        <v>15</v>
      </c>
      <c r="I41" s="2587">
        <f t="shared" si="3"/>
        <v>9</v>
      </c>
      <c r="J41" s="2587">
        <f t="shared" si="3"/>
        <v>13</v>
      </c>
      <c r="K41" s="2587">
        <f t="shared" si="3"/>
        <v>21</v>
      </c>
      <c r="L41" s="2587">
        <f t="shared" si="3"/>
        <v>5</v>
      </c>
      <c r="M41" s="2587">
        <f t="shared" si="3"/>
        <v>15</v>
      </c>
      <c r="N41" s="2588">
        <f t="shared" si="3"/>
        <v>5</v>
      </c>
      <c r="O41" s="2589">
        <f t="shared" si="3"/>
        <v>10</v>
      </c>
      <c r="P41" s="2589">
        <f t="shared" si="3"/>
        <v>11</v>
      </c>
      <c r="Q41" s="2589">
        <f t="shared" si="3"/>
        <v>11</v>
      </c>
      <c r="R41" s="2589">
        <f t="shared" si="3"/>
        <v>22</v>
      </c>
      <c r="S41" s="2589">
        <f t="shared" si="3"/>
        <v>19</v>
      </c>
      <c r="T41" s="2589">
        <f t="shared" si="3"/>
        <v>19</v>
      </c>
      <c r="U41" s="2588">
        <f t="shared" ref="U41:Y41" si="4">COUNTIF(U7:U39,"Voor")</f>
        <v>10</v>
      </c>
      <c r="V41" s="2588">
        <f t="shared" si="4"/>
        <v>7</v>
      </c>
      <c r="W41" s="2588">
        <f t="shared" si="4"/>
        <v>22</v>
      </c>
      <c r="X41" s="2588">
        <f t="shared" si="4"/>
        <v>14</v>
      </c>
      <c r="Y41" s="2588">
        <f t="shared" si="4"/>
        <v>13</v>
      </c>
      <c r="Z41" s="2588">
        <f t="shared" ref="Z41:AL41" si="5">COUNTIF(Z5:Z39,"Voor")</f>
        <v>13</v>
      </c>
      <c r="AA41" s="2588">
        <f t="shared" si="5"/>
        <v>22</v>
      </c>
      <c r="AB41" s="2588">
        <f t="shared" si="5"/>
        <v>5</v>
      </c>
      <c r="AC41" s="2588">
        <f t="shared" si="5"/>
        <v>6</v>
      </c>
      <c r="AD41" s="2588">
        <f t="shared" si="5"/>
        <v>23</v>
      </c>
      <c r="AE41" s="2588">
        <f t="shared" si="5"/>
        <v>13</v>
      </c>
      <c r="AF41" s="2587">
        <f t="shared" si="5"/>
        <v>9</v>
      </c>
      <c r="AG41" s="2587">
        <f t="shared" si="5"/>
        <v>21</v>
      </c>
      <c r="AH41" s="2587">
        <f t="shared" si="5"/>
        <v>18</v>
      </c>
      <c r="AI41" s="2587">
        <f t="shared" si="5"/>
        <v>20</v>
      </c>
      <c r="AJ41" s="2587">
        <f t="shared" si="5"/>
        <v>17</v>
      </c>
      <c r="AK41" s="2587">
        <f t="shared" si="5"/>
        <v>20</v>
      </c>
      <c r="AL41" s="2587">
        <f t="shared" si="5"/>
        <v>17</v>
      </c>
    </row>
    <row r="42" ht="18.75" customHeight="1">
      <c r="A42" s="44"/>
      <c r="B42" s="2591" t="s">
        <v>92</v>
      </c>
      <c r="C42" s="44"/>
      <c r="D42" s="2592">
        <f t="shared" ref="D42:T42" si="6">COUNTIF(D5:D39,"Tegen")</f>
        <v>1</v>
      </c>
      <c r="E42" s="2592">
        <f t="shared" si="6"/>
        <v>0</v>
      </c>
      <c r="F42" s="2592">
        <f t="shared" si="6"/>
        <v>10</v>
      </c>
      <c r="G42" s="2592">
        <f t="shared" si="6"/>
        <v>19</v>
      </c>
      <c r="H42" s="2592">
        <f t="shared" si="6"/>
        <v>5</v>
      </c>
      <c r="I42" s="2592">
        <f t="shared" si="6"/>
        <v>13</v>
      </c>
      <c r="J42" s="2592">
        <f t="shared" si="6"/>
        <v>9</v>
      </c>
      <c r="K42" s="2592">
        <f t="shared" si="6"/>
        <v>1</v>
      </c>
      <c r="L42" s="2592">
        <f t="shared" si="6"/>
        <v>14</v>
      </c>
      <c r="M42" s="2592">
        <f t="shared" si="6"/>
        <v>3</v>
      </c>
      <c r="N42" s="2593">
        <f t="shared" si="6"/>
        <v>14</v>
      </c>
      <c r="O42" s="2594">
        <f t="shared" si="6"/>
        <v>13</v>
      </c>
      <c r="P42" s="2594">
        <f t="shared" si="6"/>
        <v>12</v>
      </c>
      <c r="Q42" s="2594">
        <f t="shared" si="6"/>
        <v>10</v>
      </c>
      <c r="R42" s="2594">
        <f t="shared" si="6"/>
        <v>1</v>
      </c>
      <c r="S42" s="2594">
        <f t="shared" si="6"/>
        <v>2</v>
      </c>
      <c r="T42" s="2594">
        <f t="shared" si="6"/>
        <v>3</v>
      </c>
      <c r="U42" s="2593">
        <f t="shared" ref="U42:Y42" si="7">COUNTIF(U7:U39,"Tegen")</f>
        <v>14</v>
      </c>
      <c r="V42" s="2593">
        <f t="shared" si="7"/>
        <v>16</v>
      </c>
      <c r="W42" s="2593">
        <f t="shared" si="7"/>
        <v>2</v>
      </c>
      <c r="X42" s="2593">
        <f t="shared" si="7"/>
        <v>6</v>
      </c>
      <c r="Y42" s="2593">
        <f t="shared" si="7"/>
        <v>10</v>
      </c>
      <c r="Z42" s="2593">
        <f t="shared" ref="Z42:AL42" si="8">COUNTIF(Z5:Z39,"Tegen")</f>
        <v>10</v>
      </c>
      <c r="AA42" s="2593">
        <f t="shared" si="8"/>
        <v>1</v>
      </c>
      <c r="AB42" s="2593">
        <f t="shared" si="8"/>
        <v>18</v>
      </c>
      <c r="AC42" s="2593">
        <f t="shared" si="8"/>
        <v>17</v>
      </c>
      <c r="AD42" s="2593">
        <f t="shared" si="8"/>
        <v>0</v>
      </c>
      <c r="AE42" s="2593">
        <f t="shared" si="8"/>
        <v>9</v>
      </c>
      <c r="AF42" s="2592">
        <f t="shared" si="8"/>
        <v>13</v>
      </c>
      <c r="AG42" s="2592">
        <f t="shared" si="8"/>
        <v>1</v>
      </c>
      <c r="AH42" s="2592">
        <f t="shared" si="8"/>
        <v>3</v>
      </c>
      <c r="AI42" s="2592">
        <f t="shared" si="8"/>
        <v>1</v>
      </c>
      <c r="AJ42" s="2592">
        <f t="shared" si="8"/>
        <v>4</v>
      </c>
      <c r="AK42" s="2592">
        <f t="shared" si="8"/>
        <v>1</v>
      </c>
      <c r="AL42" s="2592">
        <f t="shared" si="8"/>
        <v>4</v>
      </c>
    </row>
    <row r="43" ht="18.75" customHeight="1">
      <c r="A43" s="44"/>
      <c r="B43" s="2596" t="s">
        <v>120</v>
      </c>
      <c r="C43" s="44"/>
      <c r="D43" s="2597">
        <f t="shared" ref="D43:T43" si="9">COUNTIF(D5:D39,"SO")</f>
        <v>0</v>
      </c>
      <c r="E43" s="2597">
        <f t="shared" si="9"/>
        <v>1</v>
      </c>
      <c r="F43" s="2597">
        <f t="shared" si="9"/>
        <v>0</v>
      </c>
      <c r="G43" s="2597">
        <f t="shared" si="9"/>
        <v>0</v>
      </c>
      <c r="H43" s="2597">
        <f t="shared" si="9"/>
        <v>2</v>
      </c>
      <c r="I43" s="2597">
        <f t="shared" si="9"/>
        <v>0</v>
      </c>
      <c r="J43" s="2597">
        <f t="shared" si="9"/>
        <v>0</v>
      </c>
      <c r="K43" s="2597">
        <f t="shared" si="9"/>
        <v>0</v>
      </c>
      <c r="L43" s="2597">
        <f t="shared" si="9"/>
        <v>0</v>
      </c>
      <c r="M43" s="2597">
        <f t="shared" si="9"/>
        <v>1</v>
      </c>
      <c r="N43" s="2598">
        <f t="shared" si="9"/>
        <v>0</v>
      </c>
      <c r="O43" s="2599">
        <f t="shared" si="9"/>
        <v>0</v>
      </c>
      <c r="P43" s="2599">
        <f t="shared" si="9"/>
        <v>0</v>
      </c>
      <c r="Q43" s="2599">
        <f t="shared" si="9"/>
        <v>2</v>
      </c>
      <c r="R43" s="2599">
        <f t="shared" si="9"/>
        <v>0</v>
      </c>
      <c r="S43" s="2599">
        <f t="shared" si="9"/>
        <v>2</v>
      </c>
      <c r="T43" s="2599">
        <f t="shared" si="9"/>
        <v>1</v>
      </c>
      <c r="U43" s="2598">
        <f t="shared" ref="U43:Y43" si="10">COUNTIF(U7:U39,"SO")</f>
        <v>0</v>
      </c>
      <c r="V43" s="2598">
        <f t="shared" si="10"/>
        <v>1</v>
      </c>
      <c r="W43" s="2598">
        <f t="shared" si="10"/>
        <v>0</v>
      </c>
      <c r="X43" s="2598">
        <f t="shared" si="10"/>
        <v>4</v>
      </c>
      <c r="Y43" s="2598">
        <f t="shared" si="10"/>
        <v>1</v>
      </c>
      <c r="Z43" s="2598">
        <f t="shared" ref="Z43:AL43" si="11">COUNTIF(Z5:Z39,"SO")</f>
        <v>0</v>
      </c>
      <c r="AA43" s="2598">
        <f t="shared" si="11"/>
        <v>0</v>
      </c>
      <c r="AB43" s="2598">
        <f t="shared" si="11"/>
        <v>0</v>
      </c>
      <c r="AC43" s="2598">
        <f t="shared" si="11"/>
        <v>0</v>
      </c>
      <c r="AD43" s="2598">
        <f t="shared" si="11"/>
        <v>0</v>
      </c>
      <c r="AE43" s="2598">
        <f t="shared" si="11"/>
        <v>0</v>
      </c>
      <c r="AF43" s="2597">
        <f t="shared" si="11"/>
        <v>0</v>
      </c>
      <c r="AG43" s="2597">
        <f t="shared" si="11"/>
        <v>0</v>
      </c>
      <c r="AH43" s="2597">
        <f t="shared" si="11"/>
        <v>0</v>
      </c>
      <c r="AI43" s="2597">
        <f t="shared" si="11"/>
        <v>0</v>
      </c>
      <c r="AJ43" s="2597">
        <f t="shared" si="11"/>
        <v>0</v>
      </c>
      <c r="AK43" s="2597">
        <f t="shared" si="11"/>
        <v>0</v>
      </c>
      <c r="AL43" s="2597">
        <f t="shared" si="11"/>
        <v>0</v>
      </c>
    </row>
    <row r="44" ht="18.75" customHeight="1">
      <c r="A44" s="44"/>
      <c r="B44" s="2601" t="s">
        <v>121</v>
      </c>
      <c r="C44" s="44"/>
      <c r="D44" s="2602">
        <f t="shared" ref="D44:T44" si="12">COUNTIF(D5:D39,"NG")</f>
        <v>0</v>
      </c>
      <c r="E44" s="2602">
        <f t="shared" si="12"/>
        <v>0</v>
      </c>
      <c r="F44" s="2602">
        <f t="shared" si="12"/>
        <v>0</v>
      </c>
      <c r="G44" s="2602">
        <f t="shared" si="12"/>
        <v>3</v>
      </c>
      <c r="H44" s="2602">
        <f t="shared" si="12"/>
        <v>3</v>
      </c>
      <c r="I44" s="2602">
        <f t="shared" si="12"/>
        <v>3</v>
      </c>
      <c r="J44" s="2602">
        <f t="shared" si="12"/>
        <v>3</v>
      </c>
      <c r="K44" s="2602">
        <f t="shared" si="12"/>
        <v>3</v>
      </c>
      <c r="L44" s="2602">
        <f t="shared" si="12"/>
        <v>6</v>
      </c>
      <c r="M44" s="2602">
        <f t="shared" si="12"/>
        <v>6</v>
      </c>
      <c r="N44" s="2603">
        <f t="shared" si="12"/>
        <v>6</v>
      </c>
      <c r="O44" s="2604">
        <f t="shared" si="12"/>
        <v>2</v>
      </c>
      <c r="P44" s="2604">
        <f t="shared" si="12"/>
        <v>2</v>
      </c>
      <c r="Q44" s="2604">
        <f t="shared" si="12"/>
        <v>2</v>
      </c>
      <c r="R44" s="2604">
        <f t="shared" si="12"/>
        <v>2</v>
      </c>
      <c r="S44" s="2604">
        <f t="shared" si="12"/>
        <v>2</v>
      </c>
      <c r="T44" s="2604">
        <f t="shared" si="12"/>
        <v>2</v>
      </c>
      <c r="U44" s="2603">
        <f t="shared" ref="U44:Y44" si="13">COUNTIF(U7:U39,"NG")</f>
        <v>1</v>
      </c>
      <c r="V44" s="2603">
        <f t="shared" si="13"/>
        <v>1</v>
      </c>
      <c r="W44" s="2603">
        <f t="shared" si="13"/>
        <v>1</v>
      </c>
      <c r="X44" s="2603">
        <f t="shared" si="13"/>
        <v>1</v>
      </c>
      <c r="Y44" s="2603">
        <f t="shared" si="13"/>
        <v>1</v>
      </c>
      <c r="Z44" s="2603">
        <f t="shared" ref="Z44:AL44" si="14">COUNTIF(Z5:Z39,"NG")</f>
        <v>2</v>
      </c>
      <c r="AA44" s="2603">
        <f t="shared" si="14"/>
        <v>2</v>
      </c>
      <c r="AB44" s="2603">
        <f t="shared" si="14"/>
        <v>2</v>
      </c>
      <c r="AC44" s="2603">
        <f t="shared" si="14"/>
        <v>2</v>
      </c>
      <c r="AD44" s="2603">
        <f t="shared" si="14"/>
        <v>2</v>
      </c>
      <c r="AE44" s="2603">
        <f t="shared" si="14"/>
        <v>3</v>
      </c>
      <c r="AF44" s="2602">
        <f t="shared" si="14"/>
        <v>3</v>
      </c>
      <c r="AG44" s="2602">
        <f t="shared" si="14"/>
        <v>3</v>
      </c>
      <c r="AH44" s="2602">
        <f t="shared" si="14"/>
        <v>4</v>
      </c>
      <c r="AI44" s="2602">
        <f t="shared" si="14"/>
        <v>4</v>
      </c>
      <c r="AJ44" s="2602">
        <f t="shared" si="14"/>
        <v>4</v>
      </c>
      <c r="AK44" s="2602">
        <f t="shared" si="14"/>
        <v>4</v>
      </c>
      <c r="AL44" s="2602">
        <f t="shared" si="14"/>
        <v>4</v>
      </c>
    </row>
    <row r="45" ht="18.75" customHeight="1">
      <c r="A45" s="44"/>
      <c r="B45" s="2606" t="s">
        <v>122</v>
      </c>
      <c r="C45" s="44"/>
      <c r="D45" s="2607">
        <f t="shared" ref="D45:AL45" si="15">SUM(D41:D44)</f>
        <v>25</v>
      </c>
      <c r="E45" s="2607">
        <f t="shared" si="15"/>
        <v>25</v>
      </c>
      <c r="F45" s="2607">
        <f t="shared" si="15"/>
        <v>25</v>
      </c>
      <c r="G45" s="2607">
        <f t="shared" si="15"/>
        <v>25</v>
      </c>
      <c r="H45" s="2607">
        <f t="shared" si="15"/>
        <v>25</v>
      </c>
      <c r="I45" s="2607">
        <f t="shared" si="15"/>
        <v>25</v>
      </c>
      <c r="J45" s="2607">
        <f t="shared" si="15"/>
        <v>25</v>
      </c>
      <c r="K45" s="2607">
        <f t="shared" si="15"/>
        <v>25</v>
      </c>
      <c r="L45" s="2607">
        <f t="shared" si="15"/>
        <v>25</v>
      </c>
      <c r="M45" s="2607">
        <f t="shared" si="15"/>
        <v>25</v>
      </c>
      <c r="N45" s="2608">
        <f t="shared" si="15"/>
        <v>25</v>
      </c>
      <c r="O45" s="2609">
        <f t="shared" si="15"/>
        <v>25</v>
      </c>
      <c r="P45" s="2609">
        <f t="shared" si="15"/>
        <v>25</v>
      </c>
      <c r="Q45" s="2609">
        <f t="shared" si="15"/>
        <v>25</v>
      </c>
      <c r="R45" s="2609">
        <f t="shared" si="15"/>
        <v>25</v>
      </c>
      <c r="S45" s="2609">
        <f t="shared" si="15"/>
        <v>25</v>
      </c>
      <c r="T45" s="2609">
        <f t="shared" si="15"/>
        <v>25</v>
      </c>
      <c r="U45" s="2608">
        <f t="shared" si="15"/>
        <v>25</v>
      </c>
      <c r="V45" s="2608">
        <f t="shared" si="15"/>
        <v>25</v>
      </c>
      <c r="W45" s="2608">
        <f t="shared" si="15"/>
        <v>25</v>
      </c>
      <c r="X45" s="2608">
        <f t="shared" si="15"/>
        <v>25</v>
      </c>
      <c r="Y45" s="2608">
        <f t="shared" si="15"/>
        <v>25</v>
      </c>
      <c r="Z45" s="2608">
        <f t="shared" si="15"/>
        <v>25</v>
      </c>
      <c r="AA45" s="2608">
        <f t="shared" si="15"/>
        <v>25</v>
      </c>
      <c r="AB45" s="2608">
        <f t="shared" si="15"/>
        <v>25</v>
      </c>
      <c r="AC45" s="2608">
        <f t="shared" si="15"/>
        <v>25</v>
      </c>
      <c r="AD45" s="2608">
        <f t="shared" si="15"/>
        <v>25</v>
      </c>
      <c r="AE45" s="2608">
        <f t="shared" si="15"/>
        <v>25</v>
      </c>
      <c r="AF45" s="2607">
        <f t="shared" si="15"/>
        <v>25</v>
      </c>
      <c r="AG45" s="2607">
        <f t="shared" si="15"/>
        <v>25</v>
      </c>
      <c r="AH45" s="2607">
        <f t="shared" si="15"/>
        <v>25</v>
      </c>
      <c r="AI45" s="2607">
        <f t="shared" si="15"/>
        <v>25</v>
      </c>
      <c r="AJ45" s="2607">
        <f t="shared" si="15"/>
        <v>25</v>
      </c>
      <c r="AK45" s="2607">
        <f t="shared" si="15"/>
        <v>25</v>
      </c>
      <c r="AL45" s="2607">
        <f t="shared" si="15"/>
        <v>25</v>
      </c>
    </row>
    <row r="46" ht="18.75" customHeight="1">
      <c r="A46" s="44"/>
      <c r="B46" s="2611" t="s">
        <v>124</v>
      </c>
      <c r="C46" s="44"/>
      <c r="D46" s="2612">
        <f t="shared" ref="D46:AL46" si="16">D41+D42+D43</f>
        <v>25</v>
      </c>
      <c r="E46" s="2612">
        <f t="shared" si="16"/>
        <v>25</v>
      </c>
      <c r="F46" s="2612">
        <f t="shared" si="16"/>
        <v>25</v>
      </c>
      <c r="G46" s="2612">
        <f t="shared" si="16"/>
        <v>22</v>
      </c>
      <c r="H46" s="2612">
        <f t="shared" si="16"/>
        <v>22</v>
      </c>
      <c r="I46" s="2612">
        <f t="shared" si="16"/>
        <v>22</v>
      </c>
      <c r="J46" s="2612">
        <f t="shared" si="16"/>
        <v>22</v>
      </c>
      <c r="K46" s="2612">
        <f t="shared" si="16"/>
        <v>22</v>
      </c>
      <c r="L46" s="2612">
        <f t="shared" si="16"/>
        <v>19</v>
      </c>
      <c r="M46" s="2612">
        <f t="shared" si="16"/>
        <v>19</v>
      </c>
      <c r="N46" s="2613">
        <f t="shared" si="16"/>
        <v>19</v>
      </c>
      <c r="O46" s="2614">
        <f t="shared" si="16"/>
        <v>23</v>
      </c>
      <c r="P46" s="2614">
        <f t="shared" si="16"/>
        <v>23</v>
      </c>
      <c r="Q46" s="2614">
        <f t="shared" si="16"/>
        <v>23</v>
      </c>
      <c r="R46" s="2614">
        <f t="shared" si="16"/>
        <v>23</v>
      </c>
      <c r="S46" s="2614">
        <f t="shared" si="16"/>
        <v>23</v>
      </c>
      <c r="T46" s="2614">
        <f t="shared" si="16"/>
        <v>23</v>
      </c>
      <c r="U46" s="2613">
        <f t="shared" si="16"/>
        <v>24</v>
      </c>
      <c r="V46" s="2613">
        <f t="shared" si="16"/>
        <v>24</v>
      </c>
      <c r="W46" s="2613">
        <f t="shared" si="16"/>
        <v>24</v>
      </c>
      <c r="X46" s="2613">
        <f t="shared" si="16"/>
        <v>24</v>
      </c>
      <c r="Y46" s="2613">
        <f t="shared" si="16"/>
        <v>24</v>
      </c>
      <c r="Z46" s="2613">
        <f t="shared" si="16"/>
        <v>23</v>
      </c>
      <c r="AA46" s="2613">
        <f t="shared" si="16"/>
        <v>23</v>
      </c>
      <c r="AB46" s="2613">
        <f t="shared" si="16"/>
        <v>23</v>
      </c>
      <c r="AC46" s="2613">
        <f t="shared" si="16"/>
        <v>23</v>
      </c>
      <c r="AD46" s="2613">
        <f t="shared" si="16"/>
        <v>23</v>
      </c>
      <c r="AE46" s="2613">
        <f t="shared" si="16"/>
        <v>22</v>
      </c>
      <c r="AF46" s="2612">
        <f t="shared" si="16"/>
        <v>22</v>
      </c>
      <c r="AG46" s="2612">
        <f t="shared" si="16"/>
        <v>22</v>
      </c>
      <c r="AH46" s="2612">
        <f t="shared" si="16"/>
        <v>21</v>
      </c>
      <c r="AI46" s="2612">
        <f t="shared" si="16"/>
        <v>21</v>
      </c>
      <c r="AJ46" s="2612">
        <f t="shared" si="16"/>
        <v>21</v>
      </c>
      <c r="AK46" s="2612">
        <f t="shared" si="16"/>
        <v>21</v>
      </c>
      <c r="AL46" s="2612">
        <f t="shared" si="16"/>
        <v>21</v>
      </c>
    </row>
    <row r="47" ht="18.75" customHeight="1">
      <c r="A47" s="228"/>
      <c r="B47" s="2616" t="s">
        <v>125</v>
      </c>
      <c r="C47" s="228"/>
      <c r="D47" s="2617">
        <f t="shared" ref="D47:AL47" si="17">IFERROR(D46/D45,"")</f>
        <v>1</v>
      </c>
      <c r="E47" s="2617">
        <f t="shared" si="17"/>
        <v>1</v>
      </c>
      <c r="F47" s="2617">
        <f t="shared" si="17"/>
        <v>1</v>
      </c>
      <c r="G47" s="2617">
        <f t="shared" si="17"/>
        <v>0.88</v>
      </c>
      <c r="H47" s="2617">
        <f t="shared" si="17"/>
        <v>0.88</v>
      </c>
      <c r="I47" s="2617">
        <f t="shared" si="17"/>
        <v>0.88</v>
      </c>
      <c r="J47" s="2617">
        <f t="shared" si="17"/>
        <v>0.88</v>
      </c>
      <c r="K47" s="2617">
        <f t="shared" si="17"/>
        <v>0.88</v>
      </c>
      <c r="L47" s="2617">
        <f t="shared" si="17"/>
        <v>0.76</v>
      </c>
      <c r="M47" s="2617">
        <f t="shared" si="17"/>
        <v>0.76</v>
      </c>
      <c r="N47" s="2618">
        <f t="shared" si="17"/>
        <v>0.76</v>
      </c>
      <c r="O47" s="2619">
        <f t="shared" si="17"/>
        <v>0.92</v>
      </c>
      <c r="P47" s="2619">
        <f t="shared" si="17"/>
        <v>0.92</v>
      </c>
      <c r="Q47" s="2619">
        <f t="shared" si="17"/>
        <v>0.92</v>
      </c>
      <c r="R47" s="2619">
        <f t="shared" si="17"/>
        <v>0.92</v>
      </c>
      <c r="S47" s="2619">
        <f t="shared" si="17"/>
        <v>0.92</v>
      </c>
      <c r="T47" s="2619">
        <f t="shared" si="17"/>
        <v>0.92</v>
      </c>
      <c r="U47" s="2618">
        <f t="shared" si="17"/>
        <v>0.96</v>
      </c>
      <c r="V47" s="2618">
        <f t="shared" si="17"/>
        <v>0.96</v>
      </c>
      <c r="W47" s="2618">
        <f t="shared" si="17"/>
        <v>0.96</v>
      </c>
      <c r="X47" s="2618">
        <f t="shared" si="17"/>
        <v>0.96</v>
      </c>
      <c r="Y47" s="2618">
        <f t="shared" si="17"/>
        <v>0.96</v>
      </c>
      <c r="Z47" s="2618">
        <f t="shared" si="17"/>
        <v>0.92</v>
      </c>
      <c r="AA47" s="2618">
        <f t="shared" si="17"/>
        <v>0.92</v>
      </c>
      <c r="AB47" s="2618">
        <f t="shared" si="17"/>
        <v>0.92</v>
      </c>
      <c r="AC47" s="2618">
        <f t="shared" si="17"/>
        <v>0.92</v>
      </c>
      <c r="AD47" s="2618">
        <f t="shared" si="17"/>
        <v>0.92</v>
      </c>
      <c r="AE47" s="2618">
        <f t="shared" si="17"/>
        <v>0.88</v>
      </c>
      <c r="AF47" s="2617">
        <f t="shared" si="17"/>
        <v>0.88</v>
      </c>
      <c r="AG47" s="2617">
        <f t="shared" si="17"/>
        <v>0.88</v>
      </c>
      <c r="AH47" s="2617">
        <f t="shared" si="17"/>
        <v>0.84</v>
      </c>
      <c r="AI47" s="2617">
        <f t="shared" si="17"/>
        <v>0.84</v>
      </c>
      <c r="AJ47" s="2617">
        <f t="shared" si="17"/>
        <v>0.84</v>
      </c>
      <c r="AK47" s="2617">
        <f t="shared" si="17"/>
        <v>0.84</v>
      </c>
      <c r="AL47" s="2617">
        <f t="shared" si="17"/>
        <v>0.84</v>
      </c>
    </row>
  </sheetData>
  <mergeCells count="17">
    <mergeCell ref="A2:C2"/>
    <mergeCell ref="D2:AL4"/>
    <mergeCell ref="A3:C4"/>
    <mergeCell ref="A7:A22"/>
    <mergeCell ref="B7:B14"/>
    <mergeCell ref="B15:B22"/>
    <mergeCell ref="A24:A39"/>
    <mergeCell ref="B45:C45"/>
    <mergeCell ref="B46:C46"/>
    <mergeCell ref="B24:B33"/>
    <mergeCell ref="B34:B36"/>
    <mergeCell ref="A41:A47"/>
    <mergeCell ref="B41:C41"/>
    <mergeCell ref="B42:C42"/>
    <mergeCell ref="B43:C43"/>
    <mergeCell ref="B44:C44"/>
    <mergeCell ref="B47:C47"/>
  </mergeCells>
  <conditionalFormatting sqref="O7:O18 P7:P10 Q7:Q17 U7:Y18 Z7:AD7 R8 L9:N9 S9 Z9:AD10 N11:N12 S11:S13 L12:M12 P12:P19 L14:N14 Z14:AD17 D16 F16:K16 L16:N20 R16:T16 AE16:AL16 C19:C20 S19 U20:U22 O21:Q22 V21:AD22 L22:N22 AF25:AL26 AH29:AL29 X31 AH31:AL38 D34:U34 V34:W37 X34:Y34 Z34:AD36 AE34:AG34 U36 X36:X37 Y36 AE36:AG36 U38">
    <cfRule type="containsText" dxfId="5" priority="1" operator="containsText" text="NG">
      <formula>NOT(ISERROR(SEARCH(("NG"),(O7))))</formula>
    </cfRule>
  </conditionalFormatting>
  <conditionalFormatting sqref="D7:AL39 B15:C22">
    <cfRule type="containsText" dxfId="2" priority="2" operator="containsText" text="SO">
      <formula>NOT(ISERROR(SEARCH(("SO"),(D7))))</formula>
    </cfRule>
  </conditionalFormatting>
  <conditionalFormatting sqref="A3 D7:AL39 B15:C22">
    <cfRule type="containsText" dxfId="3" priority="3" operator="containsText" text="tegen">
      <formula>NOT(ISERROR(SEARCH(("tegen"),(A3))))</formula>
    </cfRule>
  </conditionalFormatting>
  <conditionalFormatting sqref="D7:AL39 B15:C22">
    <cfRule type="containsText" dxfId="4" priority="4" operator="containsText" text="voor">
      <formula>NOT(ISERROR(SEARCH(("voor"),(D7))))</formula>
    </cfRule>
  </conditionalFormatting>
  <conditionalFormatting sqref="D7:AL39 B15:C22">
    <cfRule type="cellIs" dxfId="5" priority="5" operator="equal">
      <formula>"NG"</formula>
    </cfRule>
  </conditionalFormatting>
  <conditionalFormatting sqref="D7:AL39 B15:C22">
    <cfRule type="containsText" dxfId="6" priority="6" operator="containsText" text="NVT">
      <formula>NOT(ISERROR(SEARCH(("NVT"),(D7))))</formula>
    </cfRule>
  </conditionalFormatting>
  <drawing r:id="rId1"/>
</worksheet>
</file>

<file path=xl/worksheets/sheet2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5B0F00"/>
    <outlinePr summaryBelow="0" summaryRight="0"/>
  </sheetPr>
  <sheetViews>
    <sheetView workbookViewId="0">
      <pane xSplit="3.0" topLeftCell="D1" activePane="topRight" state="frozen"/>
      <selection activeCell="E2" sqref="E2" pane="topRight"/>
    </sheetView>
  </sheetViews>
  <sheetFormatPr customHeight="1" defaultColWidth="14.43" defaultRowHeight="15.75"/>
  <cols>
    <col customWidth="1" min="1" max="1" width="10.86"/>
    <col customWidth="1" min="2" max="2" width="11.0"/>
    <col customWidth="1" min="3" max="3" width="21.86"/>
  </cols>
  <sheetData>
    <row r="1" ht="18.75" customHeight="1">
      <c r="A1" s="2621" t="s">
        <v>1817</v>
      </c>
      <c r="B1" s="1438"/>
      <c r="C1" s="1438"/>
      <c r="D1" s="1438"/>
      <c r="E1" s="1438"/>
      <c r="F1" s="1438"/>
      <c r="G1" s="1438"/>
      <c r="H1" s="1438"/>
      <c r="I1" s="1438"/>
      <c r="J1" s="1438"/>
      <c r="K1" s="1438"/>
      <c r="L1" s="1438"/>
      <c r="M1" s="1438"/>
      <c r="N1" s="1438"/>
      <c r="O1" s="1438"/>
      <c r="P1" s="1438"/>
      <c r="Q1" s="1438"/>
      <c r="R1" s="1438"/>
      <c r="S1" s="1438"/>
      <c r="T1" s="1438"/>
      <c r="U1" s="1438"/>
      <c r="V1" s="1438"/>
      <c r="W1" s="1438"/>
      <c r="X1" s="1438"/>
    </row>
    <row r="2" ht="18.75" customHeight="1">
      <c r="A2" s="2622"/>
      <c r="B2" s="2357"/>
      <c r="C2" s="2358"/>
      <c r="D2" s="2623" t="s">
        <v>1818</v>
      </c>
      <c r="E2" s="16"/>
      <c r="F2" s="16"/>
      <c r="G2" s="16"/>
      <c r="H2" s="16"/>
      <c r="I2" s="16"/>
      <c r="J2" s="17"/>
      <c r="K2" s="1438"/>
      <c r="L2" s="1438"/>
      <c r="M2" s="1438"/>
      <c r="N2" s="1438"/>
      <c r="O2" s="1438"/>
      <c r="P2" s="1438"/>
      <c r="Q2" s="1438"/>
      <c r="R2" s="1438"/>
      <c r="S2" s="1438"/>
      <c r="T2" s="1438"/>
      <c r="U2" s="1438"/>
      <c r="V2" s="1438"/>
      <c r="W2" s="1438"/>
      <c r="X2" s="1438"/>
    </row>
    <row r="3" ht="18.75" customHeight="1">
      <c r="A3" s="1438"/>
      <c r="B3" s="1438"/>
      <c r="C3" s="1438"/>
      <c r="D3" s="2624"/>
      <c r="E3" s="2624"/>
      <c r="F3" s="2624"/>
      <c r="G3" s="1438"/>
      <c r="H3" s="1438"/>
      <c r="I3" s="1438"/>
      <c r="J3" s="1438"/>
      <c r="K3" s="1438"/>
      <c r="L3" s="1438"/>
      <c r="M3" s="1438"/>
      <c r="N3" s="1438"/>
      <c r="O3" s="1438"/>
      <c r="P3" s="1438"/>
      <c r="Q3" s="1438"/>
      <c r="R3" s="1438"/>
      <c r="S3" s="1438"/>
      <c r="T3" s="1438"/>
      <c r="U3" s="1438"/>
      <c r="V3" s="1438"/>
      <c r="W3" s="1438"/>
      <c r="X3" s="1438"/>
    </row>
    <row r="4" ht="18.75" customHeight="1">
      <c r="A4" s="2622" t="s">
        <v>1030</v>
      </c>
      <c r="B4" s="2357"/>
      <c r="C4" s="2358"/>
      <c r="D4" s="2625" t="s">
        <v>127</v>
      </c>
      <c r="E4" s="124"/>
      <c r="F4" s="124"/>
      <c r="G4" s="124"/>
      <c r="H4" s="124"/>
      <c r="I4" s="2362"/>
      <c r="J4" s="1438"/>
      <c r="K4" s="1438"/>
      <c r="L4" s="1438"/>
      <c r="M4" s="1438"/>
      <c r="N4" s="1438"/>
      <c r="O4" s="1438"/>
      <c r="P4" s="1438"/>
      <c r="Q4" s="1438"/>
      <c r="R4" s="1438"/>
      <c r="S4" s="1438"/>
      <c r="T4" s="1438"/>
      <c r="U4" s="1438"/>
      <c r="V4" s="1438"/>
      <c r="W4" s="1438"/>
      <c r="X4" s="1438"/>
    </row>
    <row r="5" ht="18.75" customHeight="1">
      <c r="A5" s="2675" t="s">
        <v>1946</v>
      </c>
      <c r="C5" s="135"/>
      <c r="D5" s="43"/>
      <c r="I5" s="885"/>
      <c r="J5" s="1438"/>
      <c r="K5" s="1438"/>
      <c r="L5" s="1438"/>
      <c r="M5" s="1438"/>
      <c r="N5" s="1438"/>
      <c r="O5" s="1438"/>
      <c r="P5" s="1438"/>
      <c r="Q5" s="1438"/>
      <c r="R5" s="1438"/>
      <c r="S5" s="1438"/>
      <c r="T5" s="1438"/>
      <c r="U5" s="1438"/>
      <c r="V5" s="1438"/>
      <c r="W5" s="1438"/>
      <c r="X5" s="1438"/>
    </row>
    <row r="6" ht="18.75" customHeight="1">
      <c r="C6" s="135"/>
      <c r="D6" s="2363"/>
      <c r="E6" s="1396"/>
      <c r="F6" s="1396"/>
      <c r="G6" s="1396"/>
      <c r="H6" s="1396"/>
      <c r="I6" s="1397"/>
      <c r="J6" s="1438"/>
      <c r="K6" s="1438"/>
      <c r="L6" s="1438"/>
      <c r="M6" s="1438"/>
      <c r="N6" s="1438"/>
      <c r="O6" s="1438"/>
      <c r="P6" s="1438"/>
      <c r="Q6" s="1438"/>
      <c r="R6" s="1438"/>
      <c r="S6" s="1438"/>
      <c r="T6" s="1438"/>
      <c r="U6" s="1438"/>
      <c r="V6" s="1438"/>
      <c r="W6" s="1438"/>
      <c r="X6" s="1438"/>
    </row>
    <row r="7" ht="18.75" customHeight="1">
      <c r="A7" s="2626" t="s">
        <v>86</v>
      </c>
      <c r="B7" s="2627" t="s">
        <v>87</v>
      </c>
      <c r="C7" s="2628" t="s">
        <v>88</v>
      </c>
      <c r="D7" s="2511" t="str">
        <f>HYPERLINK("https://www.reddit.com/r/RMTK/comments/bqgy91/stemming_eerste_kamer_over_w0018/","W0018")</f>
        <v>W0018</v>
      </c>
      <c r="E7" s="2511" t="str">
        <f>HYPERLINK("https://www.reddit.com/r/RMTK/comments/btqvxh/stemming_eerste_kamer_over_w0019/","W0019")</f>
        <v>W0019</v>
      </c>
      <c r="F7" s="2511" t="str">
        <f>HYPERLINK("https://www.reddit.com/r/RMTK/comments/bz11dm/stemming_eerste_kamer_over_w0020/","W0020")</f>
        <v>W0020</v>
      </c>
      <c r="G7" s="2511" t="str">
        <f>HYPERLINK("https://www.reddit.com/r/RMTK/comments/c1tsv5/stemming_eerste_kamer_over_w0021/","W0021")</f>
        <v>W0021</v>
      </c>
      <c r="H7" s="2511" t="str">
        <f>HYPERLINK("https://www.reddit.com/r/RMTK/comments/c4a8tc/stemming_eerste_kamer_over_w0024/","W0024")</f>
        <v>W0024</v>
      </c>
      <c r="I7" s="2511" t="str">
        <f>HYPERLINK("https://www.reddit.com/r/RMTK/comments/c7c07p/stemming_eerste_kamer_over_w0023/","W0023")</f>
        <v>W0023</v>
      </c>
      <c r="J7" s="1438"/>
      <c r="K7" s="1438"/>
      <c r="L7" s="1438"/>
      <c r="M7" s="1438"/>
      <c r="N7" s="1438"/>
      <c r="O7" s="1438"/>
      <c r="P7" s="1438"/>
      <c r="Q7" s="1438"/>
      <c r="R7" s="1438"/>
      <c r="S7" s="1438"/>
      <c r="T7" s="1438"/>
      <c r="U7" s="1438"/>
      <c r="V7" s="1438"/>
      <c r="W7" s="1438"/>
      <c r="X7" s="1438"/>
    </row>
    <row r="8" ht="6.0" customHeight="1">
      <c r="A8" s="2630"/>
      <c r="B8" s="2631"/>
      <c r="C8" s="2631"/>
      <c r="D8" s="2513"/>
      <c r="E8" s="2513"/>
      <c r="F8" s="2513"/>
      <c r="G8" s="2516"/>
      <c r="H8" s="2513"/>
      <c r="I8" s="2516"/>
      <c r="J8" s="1438"/>
      <c r="K8" s="1438"/>
      <c r="L8" s="1438"/>
      <c r="M8" s="1438"/>
      <c r="N8" s="1438"/>
      <c r="O8" s="1438"/>
      <c r="P8" s="1438"/>
      <c r="Q8" s="1438"/>
      <c r="R8" s="1438"/>
      <c r="S8" s="1438"/>
      <c r="T8" s="1438"/>
      <c r="U8" s="1438"/>
      <c r="V8" s="1438"/>
      <c r="W8" s="1438"/>
      <c r="X8" s="1438"/>
    </row>
    <row r="9" ht="18.75" customHeight="1">
      <c r="A9" s="2734" t="s">
        <v>132</v>
      </c>
      <c r="B9" s="2638" t="s">
        <v>214</v>
      </c>
      <c r="C9" s="2735" t="s">
        <v>1376</v>
      </c>
      <c r="D9" s="2635" t="s">
        <v>91</v>
      </c>
      <c r="E9" s="2635" t="s">
        <v>91</v>
      </c>
      <c r="F9" s="2635" t="s">
        <v>91</v>
      </c>
      <c r="G9" s="2635" t="s">
        <v>91</v>
      </c>
      <c r="H9" s="2635" t="s">
        <v>91</v>
      </c>
      <c r="I9" s="2635" t="s">
        <v>91</v>
      </c>
      <c r="J9" s="1438"/>
      <c r="K9" s="1438"/>
      <c r="L9" s="1438"/>
      <c r="M9" s="1438"/>
      <c r="N9" s="1438"/>
      <c r="O9" s="1438"/>
      <c r="P9" s="1438"/>
      <c r="Q9" s="1438"/>
      <c r="R9" s="1438"/>
      <c r="S9" s="1438"/>
      <c r="T9" s="1438"/>
      <c r="U9" s="1438"/>
      <c r="V9" s="1438"/>
      <c r="W9" s="1438"/>
      <c r="X9" s="1438"/>
    </row>
    <row r="10" ht="18.75" customHeight="1">
      <c r="A10" s="968"/>
      <c r="B10" s="2736" t="s">
        <v>243</v>
      </c>
      <c r="C10" s="2737" t="s">
        <v>1166</v>
      </c>
      <c r="D10" s="2635" t="s">
        <v>91</v>
      </c>
      <c r="E10" s="2635" t="s">
        <v>91</v>
      </c>
      <c r="F10" s="2635" t="s">
        <v>91</v>
      </c>
      <c r="G10" s="2635" t="s">
        <v>93</v>
      </c>
      <c r="H10" s="2635" t="s">
        <v>91</v>
      </c>
      <c r="I10" s="2635" t="s">
        <v>91</v>
      </c>
      <c r="J10" s="1438"/>
      <c r="K10" s="1438"/>
      <c r="L10" s="1438"/>
      <c r="M10" s="1438"/>
      <c r="N10" s="1438"/>
      <c r="O10" s="1438"/>
      <c r="P10" s="1438"/>
      <c r="Q10" s="1438"/>
      <c r="R10" s="1438"/>
      <c r="S10" s="1438"/>
      <c r="T10" s="1438"/>
      <c r="U10" s="1438"/>
      <c r="V10" s="1438"/>
      <c r="W10" s="1438"/>
      <c r="X10" s="1438"/>
    </row>
    <row r="11" ht="7.5" customHeight="1">
      <c r="A11" s="2738"/>
      <c r="B11" s="2739"/>
      <c r="C11" s="2740"/>
      <c r="D11" s="2646" t="str">
        <f t="shared" ref="D11:I11" si="1">LINKURL(D7)</f>
        <v>https://www.reddit.com/r/RMTK/comments/bqgy91/stemming_eerste_kamer_over_w0018/</v>
      </c>
      <c r="E11" s="2646" t="str">
        <f t="shared" si="1"/>
        <v>https://www.reddit.com/r/RMTK/comments/btqvxh/stemming_eerste_kamer_over_w0019/</v>
      </c>
      <c r="F11" s="2646" t="str">
        <f t="shared" si="1"/>
        <v>https://www.reddit.com/r/RMTK/comments/bz11dm/stemming_eerste_kamer_over_w0020/</v>
      </c>
      <c r="G11" s="2646" t="str">
        <f t="shared" si="1"/>
        <v>https://www.reddit.com/r/RMTK/comments/c1tsv5/stemming_eerste_kamer_over_w0021/</v>
      </c>
      <c r="H11" s="2646" t="str">
        <f t="shared" si="1"/>
        <v>https://www.reddit.com/r/RMTK/comments/c4a8tc/stemming_eerste_kamer_over_w0024/</v>
      </c>
      <c r="I11" s="2648" t="str">
        <f t="shared" si="1"/>
        <v>https://www.reddit.com/r/RMTK/comments/c7c07p/stemming_eerste_kamer_over_w0023/</v>
      </c>
      <c r="J11" s="1438"/>
      <c r="K11" s="1438"/>
      <c r="L11" s="1438"/>
      <c r="M11" s="1438"/>
      <c r="N11" s="1438"/>
      <c r="O11" s="1438"/>
      <c r="P11" s="1438"/>
      <c r="Q11" s="1438"/>
      <c r="R11" s="1438"/>
      <c r="S11" s="1438"/>
      <c r="T11" s="1438"/>
      <c r="U11" s="1438"/>
      <c r="V11" s="1438"/>
      <c r="W11" s="1438"/>
      <c r="X11" s="1438"/>
    </row>
    <row r="12" ht="18.75" customHeight="1">
      <c r="A12" s="2632" t="s">
        <v>1736</v>
      </c>
      <c r="B12" s="2741" t="s">
        <v>31</v>
      </c>
      <c r="C12" s="2742" t="s">
        <v>16</v>
      </c>
      <c r="D12" s="2635" t="s">
        <v>91</v>
      </c>
      <c r="E12" s="2635" t="s">
        <v>91</v>
      </c>
      <c r="F12" s="2635" t="s">
        <v>91</v>
      </c>
      <c r="G12" s="2635" t="s">
        <v>91</v>
      </c>
      <c r="H12" s="2635" t="s">
        <v>91</v>
      </c>
      <c r="I12" s="2635" t="s">
        <v>92</v>
      </c>
      <c r="J12" s="1438"/>
      <c r="K12" s="1438"/>
      <c r="L12" s="1438"/>
      <c r="M12" s="1438"/>
      <c r="N12" s="1438"/>
      <c r="O12" s="1438"/>
      <c r="P12" s="1438"/>
      <c r="Q12" s="1438"/>
      <c r="R12" s="1438"/>
      <c r="S12" s="1438"/>
      <c r="T12" s="1438"/>
      <c r="U12" s="1438"/>
      <c r="V12" s="1438"/>
      <c r="W12" s="1438"/>
      <c r="X12" s="1438"/>
    </row>
    <row r="13" ht="18.75" customHeight="1">
      <c r="A13" s="813"/>
      <c r="B13" s="2640" t="s">
        <v>255</v>
      </c>
      <c r="C13" s="2641" t="s">
        <v>235</v>
      </c>
      <c r="D13" s="2635" t="s">
        <v>91</v>
      </c>
      <c r="E13" s="2635" t="s">
        <v>91</v>
      </c>
      <c r="F13" s="2635" t="s">
        <v>91</v>
      </c>
      <c r="G13" s="2635" t="s">
        <v>91</v>
      </c>
      <c r="H13" s="2635" t="s">
        <v>91</v>
      </c>
      <c r="I13" s="2635" t="s">
        <v>91</v>
      </c>
      <c r="J13" s="1438"/>
      <c r="K13" s="1438"/>
      <c r="L13" s="1438"/>
      <c r="M13" s="1438"/>
      <c r="N13" s="1438"/>
      <c r="O13" s="1438"/>
      <c r="P13" s="1438"/>
      <c r="Q13" s="1438"/>
      <c r="R13" s="1438"/>
      <c r="S13" s="1438"/>
      <c r="T13" s="1438"/>
      <c r="U13" s="1438"/>
      <c r="V13" s="1438"/>
      <c r="W13" s="1438"/>
      <c r="X13" s="1438"/>
    </row>
    <row r="14" ht="18.75" customHeight="1">
      <c r="A14" s="813"/>
      <c r="B14" s="2654" t="s">
        <v>1303</v>
      </c>
      <c r="C14" s="2743" t="s">
        <v>1382</v>
      </c>
      <c r="D14" s="2635" t="s">
        <v>93</v>
      </c>
      <c r="E14" s="2635" t="s">
        <v>93</v>
      </c>
      <c r="F14" s="2635" t="s">
        <v>93</v>
      </c>
      <c r="G14" s="2700" t="s">
        <v>118</v>
      </c>
      <c r="H14" s="2744" t="s">
        <v>118</v>
      </c>
      <c r="I14" s="2744" t="s">
        <v>118</v>
      </c>
      <c r="J14" s="1438"/>
      <c r="K14" s="1438"/>
      <c r="L14" s="1438"/>
      <c r="M14" s="1438"/>
      <c r="N14" s="1438"/>
      <c r="O14" s="1438"/>
      <c r="P14" s="1438"/>
      <c r="Q14" s="1438"/>
      <c r="R14" s="1438"/>
      <c r="S14" s="1438"/>
      <c r="T14" s="1438"/>
      <c r="U14" s="1438"/>
      <c r="V14" s="1438"/>
      <c r="W14" s="1438"/>
      <c r="X14" s="1438"/>
    </row>
    <row r="15" ht="18.75" customHeight="1">
      <c r="A15" s="968"/>
      <c r="B15" s="131"/>
      <c r="C15" s="2745" t="s">
        <v>1304</v>
      </c>
      <c r="D15" s="2700" t="s">
        <v>118</v>
      </c>
      <c r="E15" s="2700" t="s">
        <v>118</v>
      </c>
      <c r="F15" s="2700" t="s">
        <v>118</v>
      </c>
      <c r="G15" s="2744" t="s">
        <v>118</v>
      </c>
      <c r="H15" s="2635" t="s">
        <v>93</v>
      </c>
      <c r="I15" s="2635" t="s">
        <v>93</v>
      </c>
      <c r="J15" s="1438"/>
      <c r="K15" s="1438"/>
      <c r="L15" s="1438"/>
      <c r="M15" s="1438"/>
      <c r="N15" s="1438"/>
      <c r="O15" s="1438"/>
      <c r="P15" s="1438"/>
      <c r="Q15" s="1438"/>
      <c r="R15" s="1438"/>
      <c r="S15" s="1438"/>
      <c r="T15" s="1438"/>
      <c r="U15" s="1438"/>
      <c r="V15" s="1438"/>
      <c r="W15" s="1438"/>
      <c r="X15" s="1438"/>
    </row>
    <row r="16" ht="12.0" customHeight="1">
      <c r="A16" s="2657"/>
      <c r="B16" s="2577"/>
      <c r="C16" s="2658"/>
      <c r="D16" s="2253" t="str">
        <f t="shared" ref="D16:I16" si="2">CONCATENATE("{""status"": ", IF(GT(D17, D18), """aangenomen""", """verworpen"""), ", ""title"": """, D7, """, ""url"": """,D11  , """, ""voor"":", D17,", ""tegen"": ", D18, ", ""onthouden"":", D19, "}")</f>
        <v>{"status": "aangenomen", "title": "W0018", "url": "https://www.reddit.com/r/RMTK/comments/bqgy91/stemming_eerste_kamer_over_w0018/", "voor":4, "tegen": 0, "onthouden":0}</v>
      </c>
      <c r="E16" s="2253" t="str">
        <f t="shared" si="2"/>
        <v>{"status": "aangenomen", "title": "W0019", "url": "https://www.reddit.com/r/RMTK/comments/btqvxh/stemming_eerste_kamer_over_w0019/", "voor":4, "tegen": 0, "onthouden":0}</v>
      </c>
      <c r="F16" s="2253" t="str">
        <f t="shared" si="2"/>
        <v>{"status": "aangenomen", "title": "W0020", "url": "https://www.reddit.com/r/RMTK/comments/bz11dm/stemming_eerste_kamer_over_w0020/", "voor":4, "tegen": 0, "onthouden":0}</v>
      </c>
      <c r="G16" s="2253" t="str">
        <f t="shared" si="2"/>
        <v>{"status": "aangenomen", "title": "W0021", "url": "https://www.reddit.com/r/RMTK/comments/c1tsv5/stemming_eerste_kamer_over_w0021/", "voor":3, "tegen": 0, "onthouden":0}</v>
      </c>
      <c r="H16" s="2659" t="str">
        <f t="shared" si="2"/>
        <v>{"status": "aangenomen", "title": "W0024", "url": "https://www.reddit.com/r/RMTK/comments/c4a8tc/stemming_eerste_kamer_over_w0024/", "voor":4, "tegen": 0, "onthouden":0}</v>
      </c>
      <c r="I16" s="2659" t="str">
        <f t="shared" si="2"/>
        <v>{"status": "aangenomen", "title": "W0023", "url": "https://www.reddit.com/r/RMTK/comments/c7c07p/stemming_eerste_kamer_over_w0023/", "voor":3, "tegen": 1, "onthouden":0}</v>
      </c>
      <c r="J16" s="1438"/>
      <c r="K16" s="1438"/>
      <c r="L16" s="1438"/>
      <c r="M16" s="1438"/>
      <c r="N16" s="1438"/>
      <c r="O16" s="1438"/>
      <c r="P16" s="1438"/>
      <c r="Q16" s="1438"/>
      <c r="R16" s="1438"/>
      <c r="S16" s="1438"/>
      <c r="T16" s="1438"/>
      <c r="U16" s="1438"/>
      <c r="V16" s="1438"/>
      <c r="W16" s="1438"/>
      <c r="X16" s="1438"/>
    </row>
    <row r="17" ht="18.75" customHeight="1">
      <c r="A17" s="2660" t="s">
        <v>119</v>
      </c>
      <c r="B17" s="2661" t="s">
        <v>91</v>
      </c>
      <c r="D17" s="2662">
        <f t="shared" ref="D17:I17" si="3">COUNTIF(D6:D15,"Voor")</f>
        <v>4</v>
      </c>
      <c r="E17" s="2662">
        <f t="shared" si="3"/>
        <v>4</v>
      </c>
      <c r="F17" s="2662">
        <f t="shared" si="3"/>
        <v>4</v>
      </c>
      <c r="G17" s="2662">
        <f t="shared" si="3"/>
        <v>3</v>
      </c>
      <c r="H17" s="2662">
        <f t="shared" si="3"/>
        <v>4</v>
      </c>
      <c r="I17" s="2662">
        <f t="shared" si="3"/>
        <v>3</v>
      </c>
      <c r="J17" s="1438"/>
      <c r="K17" s="1438"/>
      <c r="L17" s="1438"/>
      <c r="M17" s="1438"/>
      <c r="N17" s="1438"/>
      <c r="O17" s="1438"/>
      <c r="P17" s="1438"/>
      <c r="Q17" s="1438"/>
      <c r="R17" s="1438"/>
      <c r="S17" s="1438"/>
      <c r="T17" s="1438"/>
      <c r="U17" s="1438"/>
      <c r="V17" s="1438"/>
      <c r="W17" s="1438"/>
      <c r="X17" s="1438"/>
    </row>
    <row r="18" ht="18.75" customHeight="1">
      <c r="B18" s="2663" t="s">
        <v>92</v>
      </c>
      <c r="D18" s="2664">
        <f t="shared" ref="D18:I18" si="4">COUNTIF(D6:D15,"Tegen")</f>
        <v>0</v>
      </c>
      <c r="E18" s="2664">
        <f t="shared" si="4"/>
        <v>0</v>
      </c>
      <c r="F18" s="2664">
        <f t="shared" si="4"/>
        <v>0</v>
      </c>
      <c r="G18" s="2664">
        <f t="shared" si="4"/>
        <v>0</v>
      </c>
      <c r="H18" s="2664">
        <f t="shared" si="4"/>
        <v>0</v>
      </c>
      <c r="I18" s="2664">
        <f t="shared" si="4"/>
        <v>1</v>
      </c>
      <c r="J18" s="1438"/>
      <c r="K18" s="1438"/>
      <c r="L18" s="1438"/>
      <c r="M18" s="1438"/>
      <c r="N18" s="1438"/>
      <c r="O18" s="1438"/>
      <c r="P18" s="1438"/>
      <c r="Q18" s="1438"/>
      <c r="R18" s="1438"/>
      <c r="S18" s="1438"/>
      <c r="T18" s="1438"/>
      <c r="U18" s="1438"/>
      <c r="V18" s="1438"/>
      <c r="W18" s="1438"/>
      <c r="X18" s="1438"/>
    </row>
    <row r="19" ht="18.75" customHeight="1">
      <c r="B19" s="2665" t="s">
        <v>120</v>
      </c>
      <c r="D19" s="2666">
        <f t="shared" ref="D19:I19" si="5">COUNTIF(D6:D15,"SO")</f>
        <v>0</v>
      </c>
      <c r="E19" s="2666">
        <f t="shared" si="5"/>
        <v>0</v>
      </c>
      <c r="F19" s="2666">
        <f t="shared" si="5"/>
        <v>0</v>
      </c>
      <c r="G19" s="2666">
        <f t="shared" si="5"/>
        <v>0</v>
      </c>
      <c r="H19" s="2666">
        <f t="shared" si="5"/>
        <v>0</v>
      </c>
      <c r="I19" s="2666">
        <f t="shared" si="5"/>
        <v>0</v>
      </c>
      <c r="J19" s="1438"/>
      <c r="K19" s="1438"/>
      <c r="L19" s="1438"/>
      <c r="M19" s="1438"/>
      <c r="N19" s="1438"/>
      <c r="O19" s="1438"/>
      <c r="P19" s="1438"/>
      <c r="Q19" s="1438"/>
      <c r="R19" s="1438"/>
      <c r="S19" s="1438"/>
      <c r="T19" s="1438"/>
      <c r="U19" s="1438"/>
      <c r="V19" s="1438"/>
      <c r="W19" s="1438"/>
      <c r="X19" s="1438"/>
    </row>
    <row r="20" ht="18.75" customHeight="1">
      <c r="B20" s="2667" t="s">
        <v>121</v>
      </c>
      <c r="D20" s="2668">
        <f t="shared" ref="D20:I20" si="6">COUNTIF(D6:D15,"NG")</f>
        <v>1</v>
      </c>
      <c r="E20" s="2668">
        <f t="shared" si="6"/>
        <v>1</v>
      </c>
      <c r="F20" s="2668">
        <f t="shared" si="6"/>
        <v>1</v>
      </c>
      <c r="G20" s="2668">
        <f t="shared" si="6"/>
        <v>1</v>
      </c>
      <c r="H20" s="2668">
        <f t="shared" si="6"/>
        <v>1</v>
      </c>
      <c r="I20" s="2668">
        <f t="shared" si="6"/>
        <v>1</v>
      </c>
      <c r="J20" s="1438"/>
      <c r="K20" s="1438"/>
      <c r="L20" s="1438"/>
      <c r="M20" s="1438"/>
      <c r="N20" s="1438"/>
      <c r="O20" s="1438"/>
      <c r="P20" s="1438"/>
      <c r="Q20" s="1438"/>
      <c r="R20" s="1438"/>
      <c r="S20" s="1438"/>
      <c r="T20" s="1438"/>
      <c r="U20" s="1438"/>
      <c r="V20" s="1438"/>
      <c r="W20" s="1438"/>
      <c r="X20" s="1438"/>
    </row>
    <row r="21" ht="18.75" customHeight="1">
      <c r="B21" s="2669" t="s">
        <v>122</v>
      </c>
      <c r="D21" s="2746">
        <f t="shared" ref="D21:I21" si="7">SUM(D17:D20)</f>
        <v>5</v>
      </c>
      <c r="E21" s="2670">
        <f t="shared" si="7"/>
        <v>5</v>
      </c>
      <c r="F21" s="2670">
        <f t="shared" si="7"/>
        <v>5</v>
      </c>
      <c r="G21" s="2670">
        <f t="shared" si="7"/>
        <v>4</v>
      </c>
      <c r="H21" s="2670">
        <f t="shared" si="7"/>
        <v>5</v>
      </c>
      <c r="I21" s="2670">
        <f t="shared" si="7"/>
        <v>5</v>
      </c>
      <c r="J21" s="1438"/>
      <c r="K21" s="1438"/>
      <c r="L21" s="1438"/>
      <c r="M21" s="1438"/>
      <c r="N21" s="1438"/>
      <c r="O21" s="1438"/>
      <c r="P21" s="1438"/>
      <c r="Q21" s="1438"/>
      <c r="R21" s="1438"/>
      <c r="S21" s="1438"/>
      <c r="T21" s="1438"/>
      <c r="U21" s="1438"/>
      <c r="V21" s="1438"/>
      <c r="W21" s="1438"/>
      <c r="X21" s="1438"/>
    </row>
    <row r="22" ht="18.75" customHeight="1">
      <c r="B22" s="2671" t="s">
        <v>124</v>
      </c>
      <c r="D22" s="2747">
        <f t="shared" ref="D22:I22" si="8">D17+D18+D19</f>
        <v>4</v>
      </c>
      <c r="E22" s="2672">
        <f t="shared" si="8"/>
        <v>4</v>
      </c>
      <c r="F22" s="2672">
        <f t="shared" si="8"/>
        <v>4</v>
      </c>
      <c r="G22" s="2672">
        <f t="shared" si="8"/>
        <v>3</v>
      </c>
      <c r="H22" s="2672">
        <f t="shared" si="8"/>
        <v>4</v>
      </c>
      <c r="I22" s="2672">
        <f t="shared" si="8"/>
        <v>4</v>
      </c>
      <c r="J22" s="1438"/>
      <c r="K22" s="1438"/>
      <c r="L22" s="1438"/>
      <c r="M22" s="1438"/>
      <c r="N22" s="1438"/>
      <c r="O22" s="1438"/>
      <c r="P22" s="1438"/>
      <c r="Q22" s="1438"/>
      <c r="R22" s="1438"/>
      <c r="S22" s="1438"/>
      <c r="T22" s="1438"/>
      <c r="U22" s="1438"/>
      <c r="V22" s="1438"/>
      <c r="W22" s="1438"/>
      <c r="X22" s="1438"/>
    </row>
    <row r="23" ht="18.75" customHeight="1">
      <c r="B23" s="2673" t="s">
        <v>125</v>
      </c>
      <c r="C23" s="131"/>
      <c r="D23" s="2748">
        <f t="shared" ref="D23:I23" si="9">IFERROR(D22/D21,"")</f>
        <v>0.8</v>
      </c>
      <c r="E23" s="2674">
        <f t="shared" si="9"/>
        <v>0.8</v>
      </c>
      <c r="F23" s="2674">
        <f t="shared" si="9"/>
        <v>0.8</v>
      </c>
      <c r="G23" s="2674">
        <f t="shared" si="9"/>
        <v>0.75</v>
      </c>
      <c r="H23" s="2674">
        <f t="shared" si="9"/>
        <v>0.8</v>
      </c>
      <c r="I23" s="2674">
        <f t="shared" si="9"/>
        <v>0.8</v>
      </c>
      <c r="J23" s="1438"/>
      <c r="K23" s="1438"/>
      <c r="L23" s="1438"/>
      <c r="M23" s="1438"/>
      <c r="N23" s="1438"/>
      <c r="O23" s="1438"/>
      <c r="P23" s="1438"/>
      <c r="Q23" s="1438"/>
      <c r="R23" s="1438"/>
      <c r="S23" s="1438"/>
      <c r="T23" s="1438"/>
      <c r="U23" s="1438"/>
      <c r="V23" s="1438"/>
      <c r="W23" s="1438"/>
      <c r="X23" s="1438"/>
    </row>
    <row r="24" ht="18.75" customHeight="1">
      <c r="A24" s="2624"/>
      <c r="B24" s="2624"/>
      <c r="C24" s="2624"/>
      <c r="D24" s="1438"/>
      <c r="E24" s="1438"/>
      <c r="F24" s="1438"/>
      <c r="G24" s="1438"/>
      <c r="H24" s="1438"/>
      <c r="I24" s="1438"/>
      <c r="J24" s="1438"/>
      <c r="K24" s="1438"/>
      <c r="L24" s="1438"/>
      <c r="M24" s="1438"/>
      <c r="N24" s="1438"/>
      <c r="O24" s="1438"/>
      <c r="P24" s="1438"/>
      <c r="Q24" s="1438"/>
      <c r="R24" s="1438"/>
      <c r="S24" s="1438"/>
      <c r="T24" s="1438"/>
      <c r="U24" s="1438"/>
      <c r="V24" s="1438"/>
      <c r="W24" s="1438"/>
      <c r="X24" s="1438"/>
    </row>
    <row r="25" ht="18.75" customHeight="1">
      <c r="A25" s="1438"/>
      <c r="B25" s="1438"/>
      <c r="C25" s="1438"/>
      <c r="D25" s="1438"/>
      <c r="E25" s="1438"/>
      <c r="F25" s="1438"/>
      <c r="G25" s="1438"/>
      <c r="H25" s="1438"/>
      <c r="I25" s="1438"/>
      <c r="J25" s="1438"/>
      <c r="K25" s="1438"/>
      <c r="L25" s="1438"/>
      <c r="M25" s="1438"/>
      <c r="N25" s="1438"/>
      <c r="O25" s="1438"/>
      <c r="P25" s="1438"/>
      <c r="Q25" s="1438"/>
      <c r="R25" s="1438"/>
      <c r="S25" s="1438"/>
      <c r="T25" s="1438"/>
      <c r="U25" s="1438"/>
      <c r="V25" s="1438"/>
      <c r="W25" s="1438"/>
      <c r="X25" s="1438"/>
    </row>
  </sheetData>
  <mergeCells count="16">
    <mergeCell ref="A12:A15"/>
    <mergeCell ref="A17:A23"/>
    <mergeCell ref="B17:C17"/>
    <mergeCell ref="B18:C18"/>
    <mergeCell ref="B19:C19"/>
    <mergeCell ref="B20:C20"/>
    <mergeCell ref="B21:C21"/>
    <mergeCell ref="B22:C22"/>
    <mergeCell ref="B23:C23"/>
    <mergeCell ref="A2:C2"/>
    <mergeCell ref="D2:J2"/>
    <mergeCell ref="A4:C4"/>
    <mergeCell ref="D4:I6"/>
    <mergeCell ref="A5:C6"/>
    <mergeCell ref="A9:A10"/>
    <mergeCell ref="B14:B15"/>
  </mergeCells>
  <conditionalFormatting sqref="G14:G15 H14:I14 D15:F15">
    <cfRule type="containsText" dxfId="3" priority="1" operator="containsText" text="tegen">
      <formula>NOT(ISERROR(SEARCH(("tegen"),(G14))))</formula>
    </cfRule>
  </conditionalFormatting>
  <conditionalFormatting sqref="G14:G15 H14:I14 D15:F15">
    <cfRule type="cellIs" dxfId="5" priority="2" operator="equal">
      <formula>"NG"</formula>
    </cfRule>
  </conditionalFormatting>
  <conditionalFormatting sqref="D9:I10 B10:C10 D12:I15">
    <cfRule type="containsText" dxfId="4" priority="3" operator="containsText" text="voor">
      <formula>NOT(ISERROR(SEARCH(("voor"),(D9))))</formula>
    </cfRule>
  </conditionalFormatting>
  <conditionalFormatting sqref="D9:I10 B10:C10 D12:I15">
    <cfRule type="containsText" dxfId="2" priority="4" operator="containsText" text="SO">
      <formula>NOT(ISERROR(SEARCH(("SO"),(D9))))</formula>
    </cfRule>
  </conditionalFormatting>
  <conditionalFormatting sqref="D9:I10 B10:C10 D12:I15">
    <cfRule type="containsText" dxfId="5" priority="5" operator="containsText" text="NG">
      <formula>NOT(ISERROR(SEARCH(("NG"),(D9))))</formula>
    </cfRule>
  </conditionalFormatting>
  <conditionalFormatting sqref="D9:I10 B10:C10 D12:I15">
    <cfRule type="containsText" dxfId="6" priority="6" operator="containsText" text="NVT">
      <formula>NOT(ISERROR(SEARCH(("NVT"),(D9))))</formula>
    </cfRule>
  </conditionalFormatting>
  <conditionalFormatting sqref="A1:I3 J1:X24 G8:I10 D9:F10 B10:C10 E12:I15 D15 G17:I24 A24:C24 D24:F25">
    <cfRule type="containsText" dxfId="27" priority="7" operator="containsText" text="SO">
      <formula>NOT(ISERROR(SEARCH(("SO"),(A1))))</formula>
    </cfRule>
  </conditionalFormatting>
  <conditionalFormatting sqref="A1:I3 J1:X24 G8:I10 D9:F10 B10:C10 E12:I15 D15 G17:I24 A24:C24 D24:F25">
    <cfRule type="containsText" dxfId="28" priority="8" operator="containsText" text="N.v.t.">
      <formula>NOT(ISERROR(SEARCH(("N.v.t."),(A1))))</formula>
    </cfRule>
  </conditionalFormatting>
  <conditionalFormatting sqref="A1:I3 J1:X24 G8:I10 D9:F10 B10:C10 E12:I15 D15 G17:I24 A24:C24 D24:F25">
    <cfRule type="containsText" dxfId="29" priority="9" operator="containsText" text="Voor">
      <formula>NOT(ISERROR(SEARCH(("Voor"),(A1))))</formula>
    </cfRule>
  </conditionalFormatting>
  <conditionalFormatting sqref="A1:I3 J1:X24 G8:I10 D9:F10 B10:C10 E12:I15 D15 G17:I24 A24:C24 D24:F25">
    <cfRule type="containsText" dxfId="30" priority="10" operator="containsText" text="Tegen">
      <formula>NOT(ISERROR(SEARCH(("Tegen"),(A1))))</formula>
    </cfRule>
  </conditionalFormatting>
  <conditionalFormatting sqref="A1:I3 J1:X24 G8:I10 D9:F10 B10:C10 E12:I15 D15 G17:I24 A24:C24 D24:F25">
    <cfRule type="containsText" dxfId="31" priority="11" operator="containsText" text="N.v.t.">
      <formula>NOT(ISERROR(SEARCH(("N.v.t."),(A1))))</formula>
    </cfRule>
  </conditionalFormatting>
  <conditionalFormatting sqref="A1:I3 J1:X24 G8:I10 D9:F10 B10:C10 E12:I15 D15 G17:I24 A24:C24 D24:F25">
    <cfRule type="cellIs" dxfId="27" priority="12" operator="equal">
      <formula>"SO"</formula>
    </cfRule>
  </conditionalFormatting>
  <conditionalFormatting sqref="A1:I3 J1:X24 G8:I10 D9:F10 B10:C10 E12:I15 D15 G17:I24 A24:C24 D24:F25">
    <cfRule type="cellIs" dxfId="32" priority="13" operator="equal">
      <formula>"NG"</formula>
    </cfRule>
  </conditionalFormatting>
  <conditionalFormatting sqref="A1:A5 B1:C4 D1:I6 J1:X24 A7:A8 B7:C12 D8:I10 A10:A11 D12:I15 A16:C24 D17:F25 G17:I24">
    <cfRule type="containsText" dxfId="0" priority="14" operator="containsText" text="voor">
      <formula>NOT(ISERROR(SEARCH(("voor"),(A1))))</formula>
    </cfRule>
  </conditionalFormatting>
  <conditionalFormatting sqref="A1:A5 B1:C4 D1:I6 J1:X24 A7:A8 B7:C12 D8:I10 A10:A11 D12:I15 A16:C24 D17:F25 G17:I24">
    <cfRule type="containsText" dxfId="1" priority="15" operator="containsText" text="tegen">
      <formula>NOT(ISERROR(SEARCH(("tegen"),(A1))))</formula>
    </cfRule>
  </conditionalFormatting>
  <conditionalFormatting sqref="A1:C3 D1:I6 J1:X24 D8:I10 B10:C10 D12:I15 D17:F25 G17:I24 A24:C24">
    <cfRule type="containsText" dxfId="33" priority="16" operator="containsText" text="SO">
      <formula>NOT(ISERROR(SEARCH(("SO"),(A1))))</formula>
    </cfRule>
  </conditionalFormatting>
  <conditionalFormatting sqref="A1:C3 D1:I6 J1:X24 D8:I10 B10:C10 D12:I15 D17:F25 G17:I24 A24:C24">
    <cfRule type="containsText" dxfId="34" priority="17" operator="containsText" text="NG">
      <formula>NOT(ISERROR(SEARCH(("NG"),(A1))))</formula>
    </cfRule>
  </conditionalFormatting>
  <drawing r:id="rId1"/>
</worksheet>
</file>

<file path=xl/worksheets/sheet2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CC4125"/>
    <outlinePr summaryBelow="0" summaryRight="0"/>
  </sheetPr>
  <sheetViews>
    <sheetView workbookViewId="0">
      <pane xSplit="3.0" ySplit="5.0" topLeftCell="D6" activePane="bottomRight" state="frozen"/>
      <selection activeCell="D1" sqref="D1" pane="topRight"/>
      <selection activeCell="A6" sqref="A6" pane="bottomLeft"/>
      <selection activeCell="D6" sqref="D6" pane="bottomRight"/>
    </sheetView>
  </sheetViews>
  <sheetFormatPr customHeight="1" defaultColWidth="14.43" defaultRowHeight="15.75"/>
  <cols>
    <col customWidth="1" min="1" max="1" width="10.86"/>
    <col customWidth="1" min="2" max="2" width="11.0"/>
    <col customWidth="1" min="3" max="3" width="26.29"/>
  </cols>
  <sheetData>
    <row r="1" ht="18.75" customHeight="1">
      <c r="A1" s="2501" t="s">
        <v>126</v>
      </c>
      <c r="B1" s="2502"/>
      <c r="C1" s="2502"/>
      <c r="D1" s="2502"/>
      <c r="E1" s="2502"/>
      <c r="F1" s="2502"/>
      <c r="G1" s="2503"/>
      <c r="H1" s="2503"/>
      <c r="I1" s="2503"/>
      <c r="J1" s="2503"/>
      <c r="K1" s="2503"/>
      <c r="L1" s="2503"/>
      <c r="M1" s="2503"/>
      <c r="N1" s="2503"/>
      <c r="O1" s="2503"/>
      <c r="P1" s="2503"/>
      <c r="Q1" s="2503"/>
      <c r="R1" s="2503"/>
      <c r="S1" s="2503"/>
      <c r="T1" s="2503"/>
    </row>
    <row r="2" ht="18.75" customHeight="1">
      <c r="A2" s="2505" t="s">
        <v>1030</v>
      </c>
      <c r="B2" s="131"/>
      <c r="C2" s="132"/>
      <c r="D2" s="2506" t="s">
        <v>1728</v>
      </c>
      <c r="E2" s="124"/>
      <c r="F2" s="124"/>
      <c r="G2" s="124"/>
      <c r="H2" s="124"/>
      <c r="I2" s="124"/>
      <c r="J2" s="124"/>
      <c r="K2" s="124"/>
      <c r="L2" s="124"/>
      <c r="M2" s="124"/>
      <c r="N2" s="124"/>
      <c r="O2" s="124"/>
      <c r="P2" s="124"/>
      <c r="Q2" s="124"/>
      <c r="R2" s="124"/>
      <c r="S2" s="124"/>
      <c r="T2" s="20"/>
    </row>
    <row r="3" ht="18.75" customHeight="1">
      <c r="A3" s="2675" t="s">
        <v>1947</v>
      </c>
      <c r="C3" s="135"/>
      <c r="D3" s="43"/>
      <c r="T3" s="44"/>
    </row>
    <row r="4" ht="18.75" customHeight="1">
      <c r="C4" s="135"/>
      <c r="D4" s="26"/>
      <c r="E4" s="330"/>
      <c r="F4" s="330"/>
      <c r="G4" s="330"/>
      <c r="H4" s="330"/>
      <c r="I4" s="330"/>
      <c r="J4" s="330"/>
      <c r="K4" s="330"/>
      <c r="L4" s="330"/>
      <c r="M4" s="330"/>
      <c r="N4" s="330"/>
      <c r="O4" s="330"/>
      <c r="P4" s="330"/>
      <c r="Q4" s="330"/>
      <c r="R4" s="330"/>
      <c r="S4" s="330"/>
      <c r="T4" s="27"/>
    </row>
    <row r="5" ht="18.75" customHeight="1">
      <c r="A5" s="2508" t="s">
        <v>86</v>
      </c>
      <c r="B5" s="2509" t="s">
        <v>87</v>
      </c>
      <c r="C5" s="2510" t="s">
        <v>88</v>
      </c>
      <c r="D5" s="2511" t="str">
        <f>HYPERLINK("https://www.reddit.com/r/RMTK/comments/axlw0k","M0040")</f>
        <v>M0040</v>
      </c>
      <c r="E5" s="2511" t="str">
        <f>HYPERLINK("https://www.reddit.com/r/RMTK/comments/ay3ege","M0041")</f>
        <v>M0041</v>
      </c>
      <c r="F5" s="2511" t="str">
        <f>HYPERLINK("https://www.reddit.com/r/RMTK/comments/axb6a2","W0012")</f>
        <v>W0012</v>
      </c>
      <c r="G5" s="2511" t="str">
        <f>HYPERLINK("https://www.reddit.com/r/RMTK/comments/axyq3e","W0013")</f>
        <v>W0013</v>
      </c>
      <c r="H5" s="2511" t="str">
        <f>HYPERLINK("https://www.reddit.com/r/RMTK/comments/ayfy8u","W0014")</f>
        <v>W0014</v>
      </c>
      <c r="I5" s="2511" t="str">
        <f>HYPERLINK("https://www.reddit.com/r/RMTK/comments/aygvku","W0015")</f>
        <v>W0015</v>
      </c>
      <c r="J5" s="2511" t="str">
        <f>HYPERLINK("https://www.reddit.com/r/RMTK/comments/bbclrd","W0016")</f>
        <v>W0016</v>
      </c>
      <c r="K5" s="2511" t="str">
        <f>HYPERLINK("https://www.reddit.com/r/RMTK/comments/bdjnhg","M0043")</f>
        <v>M0043</v>
      </c>
      <c r="L5" s="2511" t="str">
        <f>HYPERLINK("https://www.reddit.com/r/RMTK/comments/bdvyaj","M0044")</f>
        <v>M0044</v>
      </c>
      <c r="M5" s="2511" t="str">
        <f>HYPERLINK("https://www.reddit.com/r/RMTK/comments/beaf0d","M0045")</f>
        <v>M0045</v>
      </c>
      <c r="N5" s="2511" t="str">
        <f>HYPERLINK("https://www.reddit.com/r/RMTK/comments/beo0o2","M0046")</f>
        <v>M0046</v>
      </c>
      <c r="O5" s="2511" t="str">
        <f>HYPERLINK("https://www.reddit.com/r/RMTK/comments/bdxiws","W0017")</f>
        <v>W0017</v>
      </c>
      <c r="P5" s="2511" t="str">
        <f>HYPERLINK("https://www.reddit.com/r/RMTK/comments/bgkw11","M0047")</f>
        <v>M0047</v>
      </c>
      <c r="Q5" s="2511" t="str">
        <f>HYPERLINK("https://www.reddit.com/r/RMTK/comments/bgyk5e","M0048")</f>
        <v>M0048</v>
      </c>
      <c r="R5" s="2511" t="str">
        <f>HYPERLINK("https://www.reddit.com/r/RMTK/comments/biskko","M0049")</f>
        <v>M0049</v>
      </c>
      <c r="S5" s="2511" t="str">
        <f>HYPERLINK("https://www.reddit.com/r/RMTK/comments/bjxm9b","M0050")</f>
        <v>M0050</v>
      </c>
      <c r="T5" s="2511" t="str">
        <f>HYPERLINK("https://www.reddit.com/r/RMTK/comments/bjym6d","W0018-I")</f>
        <v>W0018-I</v>
      </c>
    </row>
    <row r="6" ht="6.0" customHeight="1">
      <c r="A6" s="2513"/>
      <c r="B6" s="2631"/>
      <c r="C6" s="2514"/>
      <c r="D6" s="2676"/>
      <c r="E6" s="2676"/>
      <c r="F6" s="2676"/>
      <c r="G6" s="2676"/>
      <c r="H6" s="2676"/>
      <c r="I6" s="2749"/>
      <c r="J6" s="2676"/>
      <c r="K6" s="2676"/>
      <c r="L6" s="2676"/>
      <c r="M6" s="2676"/>
      <c r="N6" s="2676"/>
      <c r="O6" s="2676"/>
      <c r="P6" s="2676"/>
      <c r="Q6" s="2676"/>
      <c r="R6" s="2676"/>
      <c r="S6" s="2676"/>
      <c r="T6" s="2676"/>
    </row>
    <row r="7" ht="18.75" customHeight="1">
      <c r="A7" s="2519" t="s">
        <v>89</v>
      </c>
      <c r="B7" s="2679" t="s">
        <v>214</v>
      </c>
      <c r="C7" s="2680" t="s">
        <v>1941</v>
      </c>
      <c r="D7" s="2522" t="s">
        <v>91</v>
      </c>
      <c r="E7" s="2522" t="s">
        <v>92</v>
      </c>
      <c r="F7" s="2522" t="s">
        <v>92</v>
      </c>
      <c r="G7" s="2522" t="s">
        <v>91</v>
      </c>
      <c r="H7" s="2522" t="s">
        <v>92</v>
      </c>
      <c r="I7" s="2523" t="s">
        <v>91</v>
      </c>
      <c r="J7" s="2523" t="s">
        <v>92</v>
      </c>
      <c r="K7" s="2522" t="s">
        <v>92</v>
      </c>
      <c r="L7" s="2522" t="s">
        <v>91</v>
      </c>
      <c r="M7" s="2522" t="s">
        <v>92</v>
      </c>
      <c r="N7" s="2522" t="s">
        <v>92</v>
      </c>
      <c r="O7" s="2523" t="s">
        <v>91</v>
      </c>
      <c r="P7" s="2522" t="s">
        <v>91</v>
      </c>
      <c r="Q7" s="2523" t="s">
        <v>91</v>
      </c>
      <c r="R7" s="2522" t="s">
        <v>92</v>
      </c>
      <c r="S7" s="2522" t="s">
        <v>91</v>
      </c>
      <c r="T7" s="2523" t="s">
        <v>91</v>
      </c>
    </row>
    <row r="8" ht="18.75" customHeight="1">
      <c r="A8" s="158"/>
      <c r="B8" s="813"/>
      <c r="C8" s="2689" t="s">
        <v>162</v>
      </c>
      <c r="D8" s="2522" t="s">
        <v>92</v>
      </c>
      <c r="E8" s="2522" t="s">
        <v>92</v>
      </c>
      <c r="F8" s="2522" t="s">
        <v>92</v>
      </c>
      <c r="G8" s="2522" t="s">
        <v>91</v>
      </c>
      <c r="H8" s="2522" t="s">
        <v>91</v>
      </c>
      <c r="I8" s="2523" t="s">
        <v>91</v>
      </c>
      <c r="J8" s="2523" t="s">
        <v>92</v>
      </c>
      <c r="K8" s="2522" t="s">
        <v>92</v>
      </c>
      <c r="L8" s="2522" t="s">
        <v>92</v>
      </c>
      <c r="M8" s="2522" t="s">
        <v>92</v>
      </c>
      <c r="N8" s="2522" t="s">
        <v>92</v>
      </c>
      <c r="O8" s="2523" t="s">
        <v>91</v>
      </c>
      <c r="P8" s="2522" t="s">
        <v>92</v>
      </c>
      <c r="Q8" s="2523" t="s">
        <v>92</v>
      </c>
      <c r="R8" s="2522" t="s">
        <v>92</v>
      </c>
      <c r="S8" s="2522" t="s">
        <v>92</v>
      </c>
      <c r="T8" s="2523" t="s">
        <v>91</v>
      </c>
    </row>
    <row r="9" ht="18.75" customHeight="1">
      <c r="A9" s="158"/>
      <c r="B9" s="813"/>
      <c r="C9" s="2689" t="s">
        <v>1376</v>
      </c>
      <c r="D9" s="2522" t="s">
        <v>91</v>
      </c>
      <c r="E9" s="2522" t="s">
        <v>92</v>
      </c>
      <c r="F9" s="2522" t="s">
        <v>91</v>
      </c>
      <c r="G9" s="2522" t="s">
        <v>91</v>
      </c>
      <c r="H9" s="2522" t="s">
        <v>92</v>
      </c>
      <c r="I9" s="2523" t="s">
        <v>91</v>
      </c>
      <c r="J9" s="2523" t="s">
        <v>117</v>
      </c>
      <c r="K9" s="2522" t="s">
        <v>92</v>
      </c>
      <c r="L9" s="2522" t="s">
        <v>91</v>
      </c>
      <c r="M9" s="2522" t="s">
        <v>92</v>
      </c>
      <c r="N9" s="2522" t="s">
        <v>92</v>
      </c>
      <c r="O9" s="2523" t="s">
        <v>91</v>
      </c>
      <c r="P9" s="2522" t="s">
        <v>92</v>
      </c>
      <c r="Q9" s="2523" t="s">
        <v>92</v>
      </c>
      <c r="R9" s="2522" t="s">
        <v>92</v>
      </c>
      <c r="S9" s="2522" t="s">
        <v>91</v>
      </c>
      <c r="T9" s="2523" t="s">
        <v>91</v>
      </c>
    </row>
    <row r="10" ht="18.75" customHeight="1">
      <c r="A10" s="158"/>
      <c r="B10" s="813"/>
      <c r="C10" s="2689" t="s">
        <v>1330</v>
      </c>
      <c r="D10" s="2522" t="s">
        <v>91</v>
      </c>
      <c r="E10" s="2522" t="s">
        <v>92</v>
      </c>
      <c r="F10" s="2522" t="s">
        <v>92</v>
      </c>
      <c r="G10" s="2522" t="s">
        <v>91</v>
      </c>
      <c r="H10" s="2522" t="s">
        <v>92</v>
      </c>
      <c r="I10" s="2523" t="s">
        <v>91</v>
      </c>
      <c r="J10" s="2523" t="s">
        <v>92</v>
      </c>
      <c r="K10" s="2522" t="s">
        <v>92</v>
      </c>
      <c r="L10" s="2522" t="s">
        <v>91</v>
      </c>
      <c r="M10" s="2522" t="s">
        <v>92</v>
      </c>
      <c r="N10" s="2522" t="s">
        <v>92</v>
      </c>
      <c r="O10" s="2523" t="s">
        <v>91</v>
      </c>
      <c r="P10" s="2522" t="s">
        <v>91</v>
      </c>
      <c r="Q10" s="2523" t="s">
        <v>92</v>
      </c>
      <c r="R10" s="2522" t="s">
        <v>92</v>
      </c>
      <c r="S10" s="2522" t="s">
        <v>91</v>
      </c>
      <c r="T10" s="2523" t="s">
        <v>91</v>
      </c>
    </row>
    <row r="11" ht="18.75" customHeight="1">
      <c r="A11" s="158"/>
      <c r="B11" s="813"/>
      <c r="C11" s="2689" t="s">
        <v>1948</v>
      </c>
      <c r="D11" s="2522" t="s">
        <v>91</v>
      </c>
      <c r="E11" s="2522" t="s">
        <v>91</v>
      </c>
      <c r="F11" s="2522" t="s">
        <v>91</v>
      </c>
      <c r="G11" s="2522" t="s">
        <v>91</v>
      </c>
      <c r="H11" s="2522" t="s">
        <v>92</v>
      </c>
      <c r="I11" s="2523" t="s">
        <v>91</v>
      </c>
      <c r="J11" s="2523" t="s">
        <v>92</v>
      </c>
      <c r="K11" s="2522" t="s">
        <v>92</v>
      </c>
      <c r="L11" s="2522" t="s">
        <v>91</v>
      </c>
      <c r="M11" s="2522" t="s">
        <v>92</v>
      </c>
      <c r="N11" s="2522" t="s">
        <v>92</v>
      </c>
      <c r="O11" s="2523" t="s">
        <v>91</v>
      </c>
      <c r="P11" s="2522" t="s">
        <v>91</v>
      </c>
      <c r="Q11" s="2523" t="s">
        <v>91</v>
      </c>
      <c r="R11" s="2522" t="s">
        <v>92</v>
      </c>
      <c r="S11" s="2522" t="s">
        <v>91</v>
      </c>
      <c r="T11" s="2523" t="s">
        <v>91</v>
      </c>
    </row>
    <row r="12" ht="18.75" customHeight="1">
      <c r="A12" s="158"/>
      <c r="B12" s="813"/>
      <c r="C12" s="2689" t="s">
        <v>1949</v>
      </c>
      <c r="D12" s="2522" t="s">
        <v>91</v>
      </c>
      <c r="E12" s="2522" t="s">
        <v>92</v>
      </c>
      <c r="F12" s="2522" t="s">
        <v>92</v>
      </c>
      <c r="G12" s="2522" t="s">
        <v>91</v>
      </c>
      <c r="H12" s="2522" t="s">
        <v>92</v>
      </c>
      <c r="I12" s="2523" t="s">
        <v>91</v>
      </c>
      <c r="J12" s="2523" t="s">
        <v>92</v>
      </c>
      <c r="K12" s="2522" t="s">
        <v>92</v>
      </c>
      <c r="L12" s="2522" t="s">
        <v>91</v>
      </c>
      <c r="M12" s="2522" t="s">
        <v>91</v>
      </c>
      <c r="N12" s="2522" t="s">
        <v>92</v>
      </c>
      <c r="O12" s="2523" t="s">
        <v>91</v>
      </c>
      <c r="P12" s="2522" t="s">
        <v>91</v>
      </c>
      <c r="Q12" s="2523" t="s">
        <v>91</v>
      </c>
      <c r="R12" s="2522" t="s">
        <v>92</v>
      </c>
      <c r="S12" s="2522" t="s">
        <v>91</v>
      </c>
      <c r="T12" s="2523" t="s">
        <v>91</v>
      </c>
    </row>
    <row r="13" ht="18.75" customHeight="1">
      <c r="A13" s="158"/>
      <c r="B13" s="968"/>
      <c r="C13" s="2702" t="s">
        <v>1943</v>
      </c>
      <c r="D13" s="2522" t="s">
        <v>91</v>
      </c>
      <c r="E13" s="2522" t="s">
        <v>91</v>
      </c>
      <c r="F13" s="2522" t="s">
        <v>91</v>
      </c>
      <c r="G13" s="2522" t="s">
        <v>91</v>
      </c>
      <c r="H13" s="2522" t="s">
        <v>92</v>
      </c>
      <c r="I13" s="2523" t="s">
        <v>91</v>
      </c>
      <c r="J13" s="2523" t="s">
        <v>92</v>
      </c>
      <c r="K13" s="2522" t="s">
        <v>92</v>
      </c>
      <c r="L13" s="2522" t="s">
        <v>92</v>
      </c>
      <c r="M13" s="2522" t="s">
        <v>91</v>
      </c>
      <c r="N13" s="2522" t="s">
        <v>92</v>
      </c>
      <c r="O13" s="2523" t="s">
        <v>91</v>
      </c>
      <c r="P13" s="2522" t="s">
        <v>91</v>
      </c>
      <c r="Q13" s="2523" t="s">
        <v>92</v>
      </c>
      <c r="R13" s="2522" t="s">
        <v>92</v>
      </c>
      <c r="S13" s="2522" t="s">
        <v>91</v>
      </c>
      <c r="T13" s="2523" t="s">
        <v>91</v>
      </c>
    </row>
    <row r="14" ht="18.75" customHeight="1">
      <c r="A14" s="158"/>
      <c r="B14" s="2520" t="s">
        <v>31</v>
      </c>
      <c r="C14" s="2718" t="s">
        <v>32</v>
      </c>
      <c r="D14" s="2522" t="s">
        <v>91</v>
      </c>
      <c r="E14" s="2522" t="s">
        <v>91</v>
      </c>
      <c r="F14" s="2522" t="s">
        <v>91</v>
      </c>
      <c r="G14" s="2522" t="s">
        <v>91</v>
      </c>
      <c r="H14" s="2522" t="s">
        <v>92</v>
      </c>
      <c r="I14" s="2523" t="s">
        <v>91</v>
      </c>
      <c r="J14" s="2523" t="s">
        <v>92</v>
      </c>
      <c r="K14" s="2522" t="s">
        <v>92</v>
      </c>
      <c r="L14" s="2522" t="s">
        <v>91</v>
      </c>
      <c r="M14" s="2522" t="s">
        <v>92</v>
      </c>
      <c r="N14" s="2522" t="s">
        <v>92</v>
      </c>
      <c r="O14" s="2523" t="s">
        <v>91</v>
      </c>
      <c r="P14" s="2522" t="s">
        <v>92</v>
      </c>
      <c r="Q14" s="2523" t="s">
        <v>91</v>
      </c>
      <c r="R14" s="2522" t="s">
        <v>92</v>
      </c>
      <c r="S14" s="2522" t="s">
        <v>92</v>
      </c>
      <c r="T14" s="2523" t="s">
        <v>91</v>
      </c>
    </row>
    <row r="15" ht="18.75" customHeight="1">
      <c r="A15" s="158"/>
      <c r="B15" s="813"/>
      <c r="C15" s="2719" t="s">
        <v>1339</v>
      </c>
      <c r="D15" s="2522" t="s">
        <v>93</v>
      </c>
      <c r="E15" s="2522" t="s">
        <v>93</v>
      </c>
      <c r="F15" s="2522" t="s">
        <v>93</v>
      </c>
      <c r="G15" s="2522" t="s">
        <v>93</v>
      </c>
      <c r="H15" s="2522" t="s">
        <v>93</v>
      </c>
      <c r="I15" s="2523" t="s">
        <v>93</v>
      </c>
      <c r="J15" s="2523" t="s">
        <v>118</v>
      </c>
      <c r="K15" s="2522" t="s">
        <v>118</v>
      </c>
      <c r="L15" s="2522" t="s">
        <v>118</v>
      </c>
      <c r="M15" s="2522" t="s">
        <v>118</v>
      </c>
      <c r="N15" s="2522" t="s">
        <v>118</v>
      </c>
      <c r="O15" s="2523" t="s">
        <v>118</v>
      </c>
      <c r="P15" s="2522" t="s">
        <v>118</v>
      </c>
      <c r="Q15" s="2523" t="s">
        <v>118</v>
      </c>
      <c r="R15" s="2522" t="s">
        <v>118</v>
      </c>
      <c r="S15" s="2522" t="s">
        <v>118</v>
      </c>
      <c r="T15" s="2523" t="s">
        <v>118</v>
      </c>
    </row>
    <row r="16" ht="18.75" customHeight="1">
      <c r="A16" s="158"/>
      <c r="B16" s="813"/>
      <c r="C16" s="2526" t="s">
        <v>282</v>
      </c>
      <c r="D16" s="2522" t="s">
        <v>118</v>
      </c>
      <c r="E16" s="2522" t="s">
        <v>118</v>
      </c>
      <c r="F16" s="2522" t="s">
        <v>118</v>
      </c>
      <c r="G16" s="2522" t="s">
        <v>118</v>
      </c>
      <c r="H16" s="2522" t="s">
        <v>118</v>
      </c>
      <c r="I16" s="2523" t="s">
        <v>118</v>
      </c>
      <c r="J16" s="2523" t="s">
        <v>92</v>
      </c>
      <c r="K16" s="2522" t="s">
        <v>92</v>
      </c>
      <c r="L16" s="2522" t="s">
        <v>91</v>
      </c>
      <c r="M16" s="2522" t="s">
        <v>117</v>
      </c>
      <c r="N16" s="2522" t="s">
        <v>92</v>
      </c>
      <c r="O16" s="2523" t="s">
        <v>91</v>
      </c>
      <c r="P16" s="2522" t="s">
        <v>92</v>
      </c>
      <c r="Q16" s="2523" t="s">
        <v>91</v>
      </c>
      <c r="R16" s="2522" t="s">
        <v>92</v>
      </c>
      <c r="S16" s="2522" t="s">
        <v>92</v>
      </c>
      <c r="T16" s="2523" t="s">
        <v>91</v>
      </c>
    </row>
    <row r="17" ht="18.75" customHeight="1">
      <c r="A17" s="158"/>
      <c r="B17" s="813"/>
      <c r="C17" s="2526" t="s">
        <v>1340</v>
      </c>
      <c r="D17" s="2522" t="s">
        <v>93</v>
      </c>
      <c r="E17" s="2522" t="s">
        <v>93</v>
      </c>
      <c r="F17" s="2522" t="s">
        <v>93</v>
      </c>
      <c r="G17" s="2522" t="s">
        <v>93</v>
      </c>
      <c r="H17" s="2522" t="s">
        <v>93</v>
      </c>
      <c r="I17" s="2523" t="s">
        <v>93</v>
      </c>
      <c r="J17" s="2523" t="s">
        <v>92</v>
      </c>
      <c r="K17" s="2522" t="s">
        <v>92</v>
      </c>
      <c r="L17" s="2522" t="s">
        <v>91</v>
      </c>
      <c r="M17" s="2522" t="s">
        <v>91</v>
      </c>
      <c r="N17" s="2522" t="s">
        <v>92</v>
      </c>
      <c r="O17" s="2523" t="s">
        <v>91</v>
      </c>
      <c r="P17" s="2522" t="s">
        <v>92</v>
      </c>
      <c r="Q17" s="2523" t="s">
        <v>91</v>
      </c>
      <c r="R17" s="2522" t="s">
        <v>92</v>
      </c>
      <c r="S17" s="2522" t="s">
        <v>91</v>
      </c>
      <c r="T17" s="2523" t="s">
        <v>91</v>
      </c>
    </row>
    <row r="18" ht="18.75" customHeight="1">
      <c r="A18" s="158"/>
      <c r="B18" s="813"/>
      <c r="C18" s="2526" t="s">
        <v>1344</v>
      </c>
      <c r="D18" s="2522" t="s">
        <v>91</v>
      </c>
      <c r="E18" s="2522" t="s">
        <v>91</v>
      </c>
      <c r="F18" s="2522" t="s">
        <v>91</v>
      </c>
      <c r="G18" s="2522" t="s">
        <v>91</v>
      </c>
      <c r="H18" s="2522" t="s">
        <v>92</v>
      </c>
      <c r="I18" s="2523" t="s">
        <v>91</v>
      </c>
      <c r="J18" s="2523" t="s">
        <v>92</v>
      </c>
      <c r="K18" s="2522" t="s">
        <v>93</v>
      </c>
      <c r="L18" s="2522" t="s">
        <v>93</v>
      </c>
      <c r="M18" s="2522" t="s">
        <v>93</v>
      </c>
      <c r="N18" s="2522" t="s">
        <v>93</v>
      </c>
      <c r="O18" s="2523" t="s">
        <v>93</v>
      </c>
      <c r="P18" s="2522" t="s">
        <v>91</v>
      </c>
      <c r="Q18" s="2523" t="s">
        <v>91</v>
      </c>
      <c r="R18" s="2522" t="s">
        <v>92</v>
      </c>
      <c r="S18" s="2522" t="s">
        <v>91</v>
      </c>
      <c r="T18" s="2523" t="s">
        <v>91</v>
      </c>
    </row>
    <row r="19" ht="18.75" customHeight="1">
      <c r="A19" s="158"/>
      <c r="B19" s="813"/>
      <c r="C19" s="2526" t="s">
        <v>1348</v>
      </c>
      <c r="D19" s="2522" t="s">
        <v>91</v>
      </c>
      <c r="E19" s="2522" t="s">
        <v>91</v>
      </c>
      <c r="F19" s="2522" t="s">
        <v>91</v>
      </c>
      <c r="G19" s="2522" t="s">
        <v>91</v>
      </c>
      <c r="H19" s="2522" t="s">
        <v>92</v>
      </c>
      <c r="I19" s="2523" t="s">
        <v>91</v>
      </c>
      <c r="J19" s="2523" t="s">
        <v>92</v>
      </c>
      <c r="K19" s="2522" t="s">
        <v>93</v>
      </c>
      <c r="L19" s="2522" t="s">
        <v>93</v>
      </c>
      <c r="M19" s="2522" t="s">
        <v>93</v>
      </c>
      <c r="N19" s="2522" t="s">
        <v>93</v>
      </c>
      <c r="O19" s="2523" t="s">
        <v>93</v>
      </c>
      <c r="P19" s="2522" t="s">
        <v>91</v>
      </c>
      <c r="Q19" s="2523" t="s">
        <v>91</v>
      </c>
      <c r="R19" s="2522" t="s">
        <v>92</v>
      </c>
      <c r="S19" s="2522" t="s">
        <v>92</v>
      </c>
      <c r="T19" s="2523" t="s">
        <v>91</v>
      </c>
    </row>
    <row r="20" ht="18.75" customHeight="1">
      <c r="A20" s="168"/>
      <c r="B20" s="968"/>
      <c r="C20" s="2750" t="s">
        <v>1347</v>
      </c>
      <c r="D20" s="2522" t="s">
        <v>91</v>
      </c>
      <c r="E20" s="2522" t="s">
        <v>91</v>
      </c>
      <c r="F20" s="2522" t="s">
        <v>91</v>
      </c>
      <c r="G20" s="2522" t="s">
        <v>91</v>
      </c>
      <c r="H20" s="2522" t="s">
        <v>92</v>
      </c>
      <c r="I20" s="2523" t="s">
        <v>91</v>
      </c>
      <c r="J20" s="2523" t="s">
        <v>92</v>
      </c>
      <c r="K20" s="2522" t="s">
        <v>92</v>
      </c>
      <c r="L20" s="2522" t="s">
        <v>91</v>
      </c>
      <c r="M20" s="2522" t="s">
        <v>91</v>
      </c>
      <c r="N20" s="2522" t="s">
        <v>92</v>
      </c>
      <c r="O20" s="2523" t="s">
        <v>91</v>
      </c>
      <c r="P20" s="2522" t="s">
        <v>92</v>
      </c>
      <c r="Q20" s="2523" t="s">
        <v>91</v>
      </c>
      <c r="R20" s="2522" t="s">
        <v>92</v>
      </c>
      <c r="S20" s="2522" t="s">
        <v>92</v>
      </c>
      <c r="T20" s="2523" t="s">
        <v>117</v>
      </c>
    </row>
    <row r="21" ht="9.75" customHeight="1">
      <c r="A21" s="2553"/>
      <c r="B21" s="2554"/>
      <c r="C21" s="2554"/>
      <c r="D21" s="2235" t="str">
        <f t="shared" ref="D21:T21" si="1">LINKURL(D5)</f>
        <v>https://www.reddit.com/r/RMTK/comments/axlw0k</v>
      </c>
      <c r="E21" s="2235" t="str">
        <f t="shared" si="1"/>
        <v>https://www.reddit.com/r/RMTK/comments/ay3ege</v>
      </c>
      <c r="F21" s="2235" t="str">
        <f t="shared" si="1"/>
        <v>https://www.reddit.com/r/RMTK/comments/axb6a2</v>
      </c>
      <c r="G21" s="2235" t="str">
        <f t="shared" si="1"/>
        <v>https://www.reddit.com/r/RMTK/comments/axyq3e</v>
      </c>
      <c r="H21" s="2235" t="str">
        <f t="shared" si="1"/>
        <v>https://www.reddit.com/r/RMTK/comments/ayfy8u</v>
      </c>
      <c r="I21" s="2350" t="str">
        <f t="shared" si="1"/>
        <v>https://www.reddit.com/r/RMTK/comments/aygvku</v>
      </c>
      <c r="J21" s="2350" t="str">
        <f t="shared" si="1"/>
        <v>https://www.reddit.com/r/RMTK/comments/bbclrd</v>
      </c>
      <c r="K21" s="2235" t="str">
        <f t="shared" si="1"/>
        <v>https://www.reddit.com/r/RMTK/comments/bdjnhg</v>
      </c>
      <c r="L21" s="2235" t="str">
        <f t="shared" si="1"/>
        <v>https://www.reddit.com/r/RMTK/comments/bdvyaj</v>
      </c>
      <c r="M21" s="2235" t="str">
        <f t="shared" si="1"/>
        <v>https://www.reddit.com/r/RMTK/comments/beaf0d</v>
      </c>
      <c r="N21" s="2235" t="str">
        <f t="shared" si="1"/>
        <v>https://www.reddit.com/r/RMTK/comments/beo0o2</v>
      </c>
      <c r="O21" s="2350" t="str">
        <f t="shared" si="1"/>
        <v>https://www.reddit.com/r/RMTK/comments/bdxiws</v>
      </c>
      <c r="P21" s="2235" t="str">
        <f t="shared" si="1"/>
        <v>https://www.reddit.com/r/RMTK/comments/bgkw11</v>
      </c>
      <c r="Q21" s="2350" t="str">
        <f t="shared" si="1"/>
        <v>https://www.reddit.com/r/RMTK/comments/bgyk5e</v>
      </c>
      <c r="R21" s="2235" t="str">
        <f t="shared" si="1"/>
        <v>https://www.reddit.com/r/RMTK/comments/biskko</v>
      </c>
      <c r="S21" s="2235" t="str">
        <f t="shared" si="1"/>
        <v>https://www.reddit.com/r/RMTK/comments/bjxm9b</v>
      </c>
      <c r="T21" s="2350" t="str">
        <f t="shared" si="1"/>
        <v>https://www.reddit.com/r/RMTK/comments/bjym6d</v>
      </c>
    </row>
    <row r="22" ht="18.75" customHeight="1">
      <c r="A22" s="2560" t="s">
        <v>105</v>
      </c>
      <c r="B22" s="2561" t="s">
        <v>243</v>
      </c>
      <c r="C22" s="2751" t="s">
        <v>244</v>
      </c>
      <c r="D22" s="2522" t="s">
        <v>91</v>
      </c>
      <c r="E22" s="2522" t="s">
        <v>92</v>
      </c>
      <c r="F22" s="2522" t="s">
        <v>91</v>
      </c>
      <c r="G22" s="2522" t="s">
        <v>91</v>
      </c>
      <c r="H22" s="2522" t="s">
        <v>91</v>
      </c>
      <c r="I22" s="2523" t="s">
        <v>91</v>
      </c>
      <c r="J22" s="2523" t="s">
        <v>91</v>
      </c>
      <c r="K22" s="2522" t="s">
        <v>117</v>
      </c>
      <c r="L22" s="2522" t="s">
        <v>91</v>
      </c>
      <c r="M22" s="2522" t="s">
        <v>91</v>
      </c>
      <c r="N22" s="2522" t="s">
        <v>92</v>
      </c>
      <c r="O22" s="2523" t="s">
        <v>91</v>
      </c>
      <c r="P22" s="2522" t="s">
        <v>91</v>
      </c>
      <c r="Q22" s="2523" t="s">
        <v>91</v>
      </c>
      <c r="R22" s="2522" t="s">
        <v>91</v>
      </c>
      <c r="S22" s="2522" t="s">
        <v>91</v>
      </c>
      <c r="T22" s="2523" t="s">
        <v>91</v>
      </c>
    </row>
    <row r="23" ht="18.75" customHeight="1">
      <c r="A23" s="158"/>
      <c r="B23" s="813"/>
      <c r="C23" s="2563" t="s">
        <v>252</v>
      </c>
      <c r="D23" s="2522" t="s">
        <v>91</v>
      </c>
      <c r="E23" s="2522" t="s">
        <v>92</v>
      </c>
      <c r="F23" s="2522" t="s">
        <v>91</v>
      </c>
      <c r="G23" s="2522" t="s">
        <v>91</v>
      </c>
      <c r="H23" s="2522" t="s">
        <v>91</v>
      </c>
      <c r="I23" s="2523" t="s">
        <v>91</v>
      </c>
      <c r="J23" s="2523" t="s">
        <v>91</v>
      </c>
      <c r="K23" s="2522" t="s">
        <v>91</v>
      </c>
      <c r="L23" s="2522" t="s">
        <v>91</v>
      </c>
      <c r="M23" s="2522" t="s">
        <v>91</v>
      </c>
      <c r="N23" s="2522" t="s">
        <v>91</v>
      </c>
      <c r="O23" s="2523" t="s">
        <v>91</v>
      </c>
      <c r="P23" s="2522" t="s">
        <v>91</v>
      </c>
      <c r="Q23" s="2523" t="s">
        <v>91</v>
      </c>
      <c r="R23" s="2522" t="s">
        <v>91</v>
      </c>
      <c r="S23" s="2522" t="s">
        <v>91</v>
      </c>
      <c r="T23" s="2523" t="s">
        <v>91</v>
      </c>
    </row>
    <row r="24" ht="18.75" customHeight="1">
      <c r="A24" s="158"/>
      <c r="B24" s="813"/>
      <c r="C24" s="2564" t="s">
        <v>249</v>
      </c>
      <c r="D24" s="2522" t="s">
        <v>91</v>
      </c>
      <c r="E24" s="2522" t="s">
        <v>92</v>
      </c>
      <c r="F24" s="2522" t="s">
        <v>91</v>
      </c>
      <c r="G24" s="2522" t="s">
        <v>91</v>
      </c>
      <c r="H24" s="2522" t="s">
        <v>91</v>
      </c>
      <c r="I24" s="2523" t="s">
        <v>91</v>
      </c>
      <c r="J24" s="2523" t="s">
        <v>91</v>
      </c>
      <c r="K24" s="2522" t="s">
        <v>92</v>
      </c>
      <c r="L24" s="2522" t="s">
        <v>91</v>
      </c>
      <c r="M24" s="2522" t="s">
        <v>91</v>
      </c>
      <c r="N24" s="2522" t="s">
        <v>92</v>
      </c>
      <c r="O24" s="2523" t="s">
        <v>91</v>
      </c>
      <c r="P24" s="2522" t="s">
        <v>91</v>
      </c>
      <c r="Q24" s="2523" t="s">
        <v>91</v>
      </c>
      <c r="R24" s="2522" t="s">
        <v>91</v>
      </c>
      <c r="S24" s="2522" t="s">
        <v>91</v>
      </c>
      <c r="T24" s="2523" t="s">
        <v>91</v>
      </c>
    </row>
    <row r="25" ht="18.75" customHeight="1">
      <c r="A25" s="158"/>
      <c r="B25" s="813"/>
      <c r="C25" s="2752" t="s">
        <v>1357</v>
      </c>
      <c r="D25" s="2522" t="s">
        <v>91</v>
      </c>
      <c r="E25" s="2522" t="s">
        <v>92</v>
      </c>
      <c r="F25" s="2522" t="s">
        <v>91</v>
      </c>
      <c r="G25" s="2522" t="s">
        <v>91</v>
      </c>
      <c r="H25" s="2522" t="s">
        <v>91</v>
      </c>
      <c r="I25" s="2523" t="s">
        <v>91</v>
      </c>
      <c r="J25" s="2523" t="s">
        <v>93</v>
      </c>
      <c r="K25" s="2522" t="s">
        <v>92</v>
      </c>
      <c r="L25" s="2522" t="s">
        <v>91</v>
      </c>
      <c r="M25" s="2522" t="s">
        <v>91</v>
      </c>
      <c r="N25" s="2522" t="s">
        <v>91</v>
      </c>
      <c r="O25" s="2523" t="s">
        <v>91</v>
      </c>
      <c r="P25" s="2522" t="s">
        <v>91</v>
      </c>
      <c r="Q25" s="2523" t="s">
        <v>91</v>
      </c>
      <c r="R25" s="2522" t="s">
        <v>91</v>
      </c>
      <c r="S25" s="2522" t="s">
        <v>91</v>
      </c>
      <c r="T25" s="2523" t="s">
        <v>91</v>
      </c>
    </row>
    <row r="26" ht="18.75" customHeight="1">
      <c r="A26" s="158"/>
      <c r="B26" s="813"/>
      <c r="C26" s="2566" t="s">
        <v>260</v>
      </c>
      <c r="D26" s="2522" t="s">
        <v>91</v>
      </c>
      <c r="E26" s="2522" t="s">
        <v>92</v>
      </c>
      <c r="F26" s="2522" t="s">
        <v>91</v>
      </c>
      <c r="G26" s="2522" t="s">
        <v>91</v>
      </c>
      <c r="H26" s="2522" t="s">
        <v>91</v>
      </c>
      <c r="I26" s="2523" t="s">
        <v>91</v>
      </c>
      <c r="J26" s="2523" t="s">
        <v>91</v>
      </c>
      <c r="K26" s="2522" t="s">
        <v>92</v>
      </c>
      <c r="L26" s="2522" t="s">
        <v>91</v>
      </c>
      <c r="M26" s="2522" t="s">
        <v>91</v>
      </c>
      <c r="N26" s="2522" t="s">
        <v>92</v>
      </c>
      <c r="O26" s="2523" t="s">
        <v>91</v>
      </c>
      <c r="P26" s="2522" t="s">
        <v>91</v>
      </c>
      <c r="Q26" s="2523" t="s">
        <v>91</v>
      </c>
      <c r="R26" s="2522" t="s">
        <v>91</v>
      </c>
      <c r="S26" s="2522" t="s">
        <v>91</v>
      </c>
      <c r="T26" s="2523" t="s">
        <v>91</v>
      </c>
    </row>
    <row r="27" ht="18.75" customHeight="1">
      <c r="A27" s="158"/>
      <c r="B27" s="968"/>
      <c r="C27" s="2753" t="s">
        <v>262</v>
      </c>
      <c r="D27" s="2522" t="s">
        <v>91</v>
      </c>
      <c r="E27" s="2522" t="s">
        <v>92</v>
      </c>
      <c r="F27" s="2522" t="s">
        <v>91</v>
      </c>
      <c r="G27" s="2522" t="s">
        <v>91</v>
      </c>
      <c r="H27" s="2522" t="s">
        <v>91</v>
      </c>
      <c r="I27" s="2523" t="s">
        <v>91</v>
      </c>
      <c r="J27" s="2523" t="s">
        <v>91</v>
      </c>
      <c r="K27" s="2522" t="s">
        <v>92</v>
      </c>
      <c r="L27" s="2522" t="s">
        <v>91</v>
      </c>
      <c r="M27" s="2522" t="s">
        <v>91</v>
      </c>
      <c r="N27" s="2522" t="s">
        <v>92</v>
      </c>
      <c r="O27" s="2523" t="s">
        <v>91</v>
      </c>
      <c r="P27" s="2522" t="s">
        <v>91</v>
      </c>
      <c r="Q27" s="2523" t="s">
        <v>91</v>
      </c>
      <c r="R27" s="2522" t="s">
        <v>91</v>
      </c>
      <c r="S27" s="2522" t="s">
        <v>91</v>
      </c>
      <c r="T27" s="2523" t="s">
        <v>91</v>
      </c>
    </row>
    <row r="28" ht="18.75" customHeight="1">
      <c r="A28" s="158"/>
      <c r="B28" s="2546" t="s">
        <v>255</v>
      </c>
      <c r="C28" s="2754" t="s">
        <v>1328</v>
      </c>
      <c r="D28" s="2522" t="s">
        <v>91</v>
      </c>
      <c r="E28" s="2522" t="s">
        <v>92</v>
      </c>
      <c r="F28" s="2522" t="s">
        <v>91</v>
      </c>
      <c r="G28" s="2522" t="s">
        <v>91</v>
      </c>
      <c r="H28" s="2522" t="s">
        <v>91</v>
      </c>
      <c r="I28" s="2523" t="s">
        <v>91</v>
      </c>
      <c r="J28" s="2523" t="s">
        <v>93</v>
      </c>
      <c r="K28" s="2522" t="s">
        <v>93</v>
      </c>
      <c r="L28" s="2522" t="s">
        <v>93</v>
      </c>
      <c r="M28" s="2522" t="s">
        <v>93</v>
      </c>
      <c r="N28" s="2522" t="s">
        <v>93</v>
      </c>
      <c r="O28" s="2523" t="s">
        <v>93</v>
      </c>
      <c r="P28" s="2522" t="s">
        <v>118</v>
      </c>
      <c r="Q28" s="2523" t="s">
        <v>118</v>
      </c>
      <c r="R28" s="2522" t="s">
        <v>118</v>
      </c>
      <c r="S28" s="2522" t="s">
        <v>118</v>
      </c>
      <c r="T28" s="2522" t="s">
        <v>118</v>
      </c>
    </row>
    <row r="29" ht="18.75" customHeight="1">
      <c r="A29" s="158"/>
      <c r="B29" s="158"/>
      <c r="C29" s="2547" t="s">
        <v>48</v>
      </c>
      <c r="D29" s="2522" t="s">
        <v>118</v>
      </c>
      <c r="E29" s="2522" t="s">
        <v>118</v>
      </c>
      <c r="F29" s="2522" t="s">
        <v>118</v>
      </c>
      <c r="G29" s="2522" t="s">
        <v>118</v>
      </c>
      <c r="H29" s="2522" t="s">
        <v>118</v>
      </c>
      <c r="I29" s="2523" t="s">
        <v>118</v>
      </c>
      <c r="J29" s="2523" t="s">
        <v>118</v>
      </c>
      <c r="K29" s="2522" t="s">
        <v>118</v>
      </c>
      <c r="L29" s="2522" t="s">
        <v>118</v>
      </c>
      <c r="M29" s="2522" t="s">
        <v>118</v>
      </c>
      <c r="N29" s="2522" t="s">
        <v>118</v>
      </c>
      <c r="O29" s="2523" t="s">
        <v>118</v>
      </c>
      <c r="P29" s="2522" t="s">
        <v>91</v>
      </c>
      <c r="Q29" s="2523" t="s">
        <v>92</v>
      </c>
      <c r="R29" s="2522" t="s">
        <v>91</v>
      </c>
      <c r="S29" s="2522" t="s">
        <v>91</v>
      </c>
      <c r="T29" s="2523" t="s">
        <v>91</v>
      </c>
    </row>
    <row r="30" ht="18.75" customHeight="1">
      <c r="A30" s="158"/>
      <c r="B30" s="158"/>
      <c r="C30" s="2548" t="s">
        <v>308</v>
      </c>
      <c r="D30" s="2522" t="s">
        <v>91</v>
      </c>
      <c r="E30" s="2522" t="s">
        <v>92</v>
      </c>
      <c r="F30" s="2522" t="s">
        <v>91</v>
      </c>
      <c r="G30" s="2522" t="s">
        <v>91</v>
      </c>
      <c r="H30" s="2522" t="s">
        <v>91</v>
      </c>
      <c r="I30" s="2523" t="s">
        <v>91</v>
      </c>
      <c r="J30" s="2523" t="s">
        <v>92</v>
      </c>
      <c r="K30" s="2522" t="s">
        <v>92</v>
      </c>
      <c r="L30" s="2522" t="s">
        <v>92</v>
      </c>
      <c r="M30" s="2522" t="s">
        <v>91</v>
      </c>
      <c r="N30" s="2522" t="s">
        <v>91</v>
      </c>
      <c r="O30" s="2523" t="s">
        <v>91</v>
      </c>
      <c r="P30" s="2522" t="s">
        <v>91</v>
      </c>
      <c r="Q30" s="2523" t="s">
        <v>92</v>
      </c>
      <c r="R30" s="2522" t="s">
        <v>91</v>
      </c>
      <c r="S30" s="2522" t="s">
        <v>91</v>
      </c>
      <c r="T30" s="2523" t="s">
        <v>91</v>
      </c>
    </row>
    <row r="31" ht="18.75" customHeight="1">
      <c r="A31" s="158"/>
      <c r="B31" s="168"/>
      <c r="C31" s="2755" t="s">
        <v>201</v>
      </c>
      <c r="D31" s="2522" t="s">
        <v>91</v>
      </c>
      <c r="E31" s="2522" t="s">
        <v>92</v>
      </c>
      <c r="F31" s="2522" t="s">
        <v>91</v>
      </c>
      <c r="G31" s="2522" t="s">
        <v>91</v>
      </c>
      <c r="H31" s="2522" t="s">
        <v>91</v>
      </c>
      <c r="I31" s="2523" t="s">
        <v>91</v>
      </c>
      <c r="J31" s="2523" t="s">
        <v>92</v>
      </c>
      <c r="K31" s="2522" t="s">
        <v>92</v>
      </c>
      <c r="L31" s="2522" t="s">
        <v>92</v>
      </c>
      <c r="M31" s="2522" t="s">
        <v>91</v>
      </c>
      <c r="N31" s="2522" t="s">
        <v>91</v>
      </c>
      <c r="O31" s="2523" t="s">
        <v>91</v>
      </c>
      <c r="P31" s="2522" t="s">
        <v>91</v>
      </c>
      <c r="Q31" s="2523" t="s">
        <v>92</v>
      </c>
      <c r="R31" s="2522" t="s">
        <v>91</v>
      </c>
      <c r="S31" s="2522" t="s">
        <v>91</v>
      </c>
      <c r="T31" s="2523" t="s">
        <v>91</v>
      </c>
    </row>
    <row r="32" ht="18.75" customHeight="1">
      <c r="A32" s="158"/>
      <c r="B32" s="2723" t="s">
        <v>1303</v>
      </c>
      <c r="C32" s="2569" t="s">
        <v>1305</v>
      </c>
      <c r="D32" s="2522" t="s">
        <v>93</v>
      </c>
      <c r="E32" s="2522" t="s">
        <v>93</v>
      </c>
      <c r="F32" s="2522" t="s">
        <v>93</v>
      </c>
      <c r="G32" s="2522" t="s">
        <v>93</v>
      </c>
      <c r="H32" s="2522" t="s">
        <v>93</v>
      </c>
      <c r="I32" s="2523" t="s">
        <v>93</v>
      </c>
      <c r="J32" s="2523" t="s">
        <v>92</v>
      </c>
      <c r="K32" s="2522" t="s">
        <v>92</v>
      </c>
      <c r="L32" s="2522" t="s">
        <v>91</v>
      </c>
      <c r="M32" s="2522" t="s">
        <v>92</v>
      </c>
      <c r="N32" s="2522" t="s">
        <v>92</v>
      </c>
      <c r="O32" s="2523" t="s">
        <v>91</v>
      </c>
      <c r="P32" s="2522" t="s">
        <v>91</v>
      </c>
      <c r="Q32" s="2523" t="s">
        <v>92</v>
      </c>
      <c r="R32" s="2522" t="s">
        <v>93</v>
      </c>
      <c r="S32" s="2522" t="s">
        <v>93</v>
      </c>
      <c r="T32" s="2523" t="s">
        <v>93</v>
      </c>
    </row>
    <row r="33" ht="18.75" customHeight="1">
      <c r="A33" s="158"/>
      <c r="B33" s="2549" t="s">
        <v>258</v>
      </c>
      <c r="C33" s="2550" t="s">
        <v>176</v>
      </c>
      <c r="D33" s="2522" t="s">
        <v>91</v>
      </c>
      <c r="E33" s="2522" t="s">
        <v>117</v>
      </c>
      <c r="F33" s="2522" t="s">
        <v>91</v>
      </c>
      <c r="G33" s="2522" t="s">
        <v>91</v>
      </c>
      <c r="H33" s="2522" t="s">
        <v>92</v>
      </c>
      <c r="I33" s="2523" t="s">
        <v>92</v>
      </c>
      <c r="J33" s="2523" t="s">
        <v>93</v>
      </c>
      <c r="K33" s="2522" t="s">
        <v>92</v>
      </c>
      <c r="L33" s="2522" t="s">
        <v>91</v>
      </c>
      <c r="M33" s="2522" t="s">
        <v>91</v>
      </c>
      <c r="N33" s="2522" t="s">
        <v>117</v>
      </c>
      <c r="O33" s="2523" t="s">
        <v>91</v>
      </c>
      <c r="P33" s="2522" t="s">
        <v>91</v>
      </c>
      <c r="Q33" s="2523" t="s">
        <v>91</v>
      </c>
      <c r="R33" s="2522" t="s">
        <v>91</v>
      </c>
      <c r="S33" s="2522" t="s">
        <v>117</v>
      </c>
      <c r="T33" s="2523" t="s">
        <v>91</v>
      </c>
    </row>
    <row r="34" ht="18.75" customHeight="1">
      <c r="A34" s="158"/>
      <c r="B34" s="2724" t="s">
        <v>274</v>
      </c>
      <c r="C34" s="2725" t="s">
        <v>101</v>
      </c>
      <c r="D34" s="2522" t="s">
        <v>91</v>
      </c>
      <c r="E34" s="2522" t="s">
        <v>92</v>
      </c>
      <c r="F34" s="2522" t="s">
        <v>91</v>
      </c>
      <c r="G34" s="2522" t="s">
        <v>92</v>
      </c>
      <c r="H34" s="2522" t="s">
        <v>92</v>
      </c>
      <c r="I34" s="2523" t="s">
        <v>92</v>
      </c>
      <c r="J34" s="2523" t="s">
        <v>91</v>
      </c>
      <c r="K34" s="2522" t="s">
        <v>92</v>
      </c>
      <c r="L34" s="2522" t="s">
        <v>91</v>
      </c>
      <c r="M34" s="2522" t="s">
        <v>92</v>
      </c>
      <c r="N34" s="2522" t="s">
        <v>92</v>
      </c>
      <c r="O34" s="2523" t="s">
        <v>92</v>
      </c>
      <c r="P34" s="2522" t="s">
        <v>93</v>
      </c>
      <c r="Q34" s="2523" t="s">
        <v>93</v>
      </c>
      <c r="R34" s="2522" t="s">
        <v>91</v>
      </c>
      <c r="S34" s="2522" t="s">
        <v>92</v>
      </c>
      <c r="T34" s="2523" t="s">
        <v>91</v>
      </c>
    </row>
    <row r="35" ht="11.25" customHeight="1">
      <c r="A35" s="2576"/>
      <c r="B35" s="2577"/>
      <c r="C35" s="2732"/>
      <c r="D35" s="2253" t="str">
        <f t="shared" ref="D35:T35" si="2">CONCATENATE("{""status"": ", IF(GT(D36, D37), """aangenomen""", """verworpen"""), ", ""title"": """, D5, """, ""url"": """,D21  , """, ""voor"":", D36,", ""tegen"": ", D37, ", ""onthouden"":", D38, "}")</f>
        <v>{"status": "aangenomen", "title": "M0040", "url": "https://www.reddit.com/r/RMTK/comments/axlw0k", "voor":21, "tegen": 1, "onthouden":0}</v>
      </c>
      <c r="E35" s="2253" t="str">
        <f t="shared" si="2"/>
        <v>{"status": "verworpen", "title": "M0041", "url": "https://www.reddit.com/r/RMTK/comments/ay3ege", "voor":6, "tegen": 15, "onthouden":1}</v>
      </c>
      <c r="F35" s="2253" t="str">
        <f t="shared" si="2"/>
        <v>{"status": "aangenomen", "title": "W0012", "url": "https://www.reddit.com/r/RMTK/comments/axb6a2", "voor":18, "tegen": 4, "onthouden":0}</v>
      </c>
      <c r="G35" s="2253" t="str">
        <f t="shared" si="2"/>
        <v>{"status": "aangenomen", "title": "W0013", "url": "https://www.reddit.com/r/RMTK/comments/axyq3e", "voor":21, "tegen": 1, "onthouden":0}</v>
      </c>
      <c r="H35" s="2253" t="str">
        <f t="shared" si="2"/>
        <v>{"status": "verworpen", "title": "W0014", "url": "https://www.reddit.com/r/RMTK/comments/ayfy8u", "voor":10, "tegen": 12, "onthouden":0}</v>
      </c>
      <c r="I35" s="2253" t="str">
        <f t="shared" si="2"/>
        <v>{"status": "aangenomen", "title": "W0015", "url": "https://www.reddit.com/r/RMTK/comments/aygvku", "voor":20, "tegen": 2, "onthouden":0}</v>
      </c>
      <c r="J35" s="2253" t="str">
        <f t="shared" si="2"/>
        <v>{"status": "verworpen", "title": "W0016", "url": "https://www.reddit.com/r/RMTK/comments/bbclrd", "voor":6, "tegen": 15, "onthouden":1}</v>
      </c>
      <c r="K35" s="2253" t="str">
        <f t="shared" si="2"/>
        <v>{"status": "verworpen", "title": "M0043", "url": "https://www.reddit.com/r/RMTK/comments/bdjnhg", "voor":1, "tegen": 20, "onthouden":1}</v>
      </c>
      <c r="L35" s="2253" t="str">
        <f t="shared" si="2"/>
        <v>{"status": "aangenomen", "title": "M0044", "url": "https://www.reddit.com/r/RMTK/comments/bdvyaj", "voor":18, "tegen": 4, "onthouden":0}</v>
      </c>
      <c r="M35" s="2253" t="str">
        <f t="shared" si="2"/>
        <v>{"status": "aangenomen", "title": "M0045", "url": "https://www.reddit.com/r/RMTK/comments/beaf0d", "voor":13, "tegen": 8, "onthouden":1}</v>
      </c>
      <c r="N35" s="2253" t="str">
        <f t="shared" si="2"/>
        <v>{"status": "verworpen", "title": "M0046", "url": "https://www.reddit.com/r/RMTK/comments/beo0o2", "voor":4, "tegen": 17, "onthouden":1}</v>
      </c>
      <c r="O35" s="2253" t="str">
        <f t="shared" si="2"/>
        <v>{"status": "aangenomen", "title": "W0017", "url": "https://www.reddit.com/r/RMTK/comments/bdxiws", "voor":21, "tegen": 1, "onthouden":0}</v>
      </c>
      <c r="P35" s="2253" t="str">
        <f t="shared" si="2"/>
        <v>{"status": "aangenomen", "title": "M0047", "url": "https://www.reddit.com/r/RMTK/comments/bgkw11", "voor":18, "tegen": 6, "onthouden":0}</v>
      </c>
      <c r="Q35" s="2253" t="str">
        <f t="shared" si="2"/>
        <v>{"status": "aangenomen", "title": "M0048", "url": "https://www.reddit.com/r/RMTK/comments/bgyk5e", "voor":16, "tegen": 8, "onthouden":0}</v>
      </c>
      <c r="R35" s="2253" t="str">
        <f t="shared" si="2"/>
        <v>{"status": "verworpen", "title": "M0049", "url": "https://www.reddit.com/r/RMTK/comments/biskko", "voor":11, "tegen": 13, "onthouden":0}</v>
      </c>
      <c r="S35" s="2253" t="str">
        <f t="shared" si="2"/>
        <v>{"status": "aangenomen", "title": "M0050", "url": "https://www.reddit.com/r/RMTK/comments/bjxm9b", "voor":17, "tegen": 6, "onthouden":1}</v>
      </c>
      <c r="T35" s="2253" t="str">
        <f t="shared" si="2"/>
        <v>{"status": "aangenomen", "title": "W0018-I", "url": "https://www.reddit.com/r/RMTK/comments/bjym6d", "voor":23, "tegen": 0, "onthouden":1}</v>
      </c>
    </row>
    <row r="36" ht="18.0" customHeight="1">
      <c r="A36" s="2585" t="s">
        <v>119</v>
      </c>
      <c r="B36" s="2586" t="s">
        <v>91</v>
      </c>
      <c r="C36" s="44"/>
      <c r="D36" s="2587">
        <f t="shared" ref="D36:T36" si="3">COUNTIF(D5:D34,"Voor")</f>
        <v>21</v>
      </c>
      <c r="E36" s="2587">
        <f t="shared" si="3"/>
        <v>6</v>
      </c>
      <c r="F36" s="2587">
        <f t="shared" si="3"/>
        <v>18</v>
      </c>
      <c r="G36" s="2587">
        <f t="shared" si="3"/>
        <v>21</v>
      </c>
      <c r="H36" s="2587">
        <f t="shared" si="3"/>
        <v>10</v>
      </c>
      <c r="I36" s="2587">
        <f t="shared" si="3"/>
        <v>20</v>
      </c>
      <c r="J36" s="2587">
        <f t="shared" si="3"/>
        <v>6</v>
      </c>
      <c r="K36" s="2587">
        <f t="shared" si="3"/>
        <v>1</v>
      </c>
      <c r="L36" s="2587">
        <f t="shared" si="3"/>
        <v>18</v>
      </c>
      <c r="M36" s="2587">
        <f t="shared" si="3"/>
        <v>13</v>
      </c>
      <c r="N36" s="2587">
        <f t="shared" si="3"/>
        <v>4</v>
      </c>
      <c r="O36" s="2587">
        <f t="shared" si="3"/>
        <v>21</v>
      </c>
      <c r="P36" s="2587">
        <f t="shared" si="3"/>
        <v>18</v>
      </c>
      <c r="Q36" s="2587">
        <f t="shared" si="3"/>
        <v>16</v>
      </c>
      <c r="R36" s="2587">
        <f t="shared" si="3"/>
        <v>11</v>
      </c>
      <c r="S36" s="2587">
        <f t="shared" si="3"/>
        <v>17</v>
      </c>
      <c r="T36" s="2587">
        <f t="shared" si="3"/>
        <v>23</v>
      </c>
    </row>
    <row r="37" ht="18.75" customHeight="1">
      <c r="A37" s="44"/>
      <c r="B37" s="2591" t="s">
        <v>92</v>
      </c>
      <c r="C37" s="44"/>
      <c r="D37" s="2592">
        <f t="shared" ref="D37:T37" si="4">COUNTIF(D5:D34,"Tegen")</f>
        <v>1</v>
      </c>
      <c r="E37" s="2592">
        <f t="shared" si="4"/>
        <v>15</v>
      </c>
      <c r="F37" s="2592">
        <f t="shared" si="4"/>
        <v>4</v>
      </c>
      <c r="G37" s="2592">
        <f t="shared" si="4"/>
        <v>1</v>
      </c>
      <c r="H37" s="2592">
        <f t="shared" si="4"/>
        <v>12</v>
      </c>
      <c r="I37" s="2592">
        <f t="shared" si="4"/>
        <v>2</v>
      </c>
      <c r="J37" s="2592">
        <f t="shared" si="4"/>
        <v>15</v>
      </c>
      <c r="K37" s="2592">
        <f t="shared" si="4"/>
        <v>20</v>
      </c>
      <c r="L37" s="2592">
        <f t="shared" si="4"/>
        <v>4</v>
      </c>
      <c r="M37" s="2592">
        <f t="shared" si="4"/>
        <v>8</v>
      </c>
      <c r="N37" s="2592">
        <f t="shared" si="4"/>
        <v>17</v>
      </c>
      <c r="O37" s="2592">
        <f t="shared" si="4"/>
        <v>1</v>
      </c>
      <c r="P37" s="2592">
        <f t="shared" si="4"/>
        <v>6</v>
      </c>
      <c r="Q37" s="2592">
        <f t="shared" si="4"/>
        <v>8</v>
      </c>
      <c r="R37" s="2592">
        <f t="shared" si="4"/>
        <v>13</v>
      </c>
      <c r="S37" s="2592">
        <f t="shared" si="4"/>
        <v>6</v>
      </c>
      <c r="T37" s="2592">
        <f t="shared" si="4"/>
        <v>0</v>
      </c>
    </row>
    <row r="38" ht="18.75" customHeight="1">
      <c r="A38" s="44"/>
      <c r="B38" s="2596" t="s">
        <v>120</v>
      </c>
      <c r="C38" s="44"/>
      <c r="D38" s="2597">
        <f t="shared" ref="D38:T38" si="5">COUNTIF(D5:D34,"SO")</f>
        <v>0</v>
      </c>
      <c r="E38" s="2597">
        <f t="shared" si="5"/>
        <v>1</v>
      </c>
      <c r="F38" s="2597">
        <f t="shared" si="5"/>
        <v>0</v>
      </c>
      <c r="G38" s="2597">
        <f t="shared" si="5"/>
        <v>0</v>
      </c>
      <c r="H38" s="2597">
        <f t="shared" si="5"/>
        <v>0</v>
      </c>
      <c r="I38" s="2597">
        <f t="shared" si="5"/>
        <v>0</v>
      </c>
      <c r="J38" s="2597">
        <f t="shared" si="5"/>
        <v>1</v>
      </c>
      <c r="K38" s="2597">
        <f t="shared" si="5"/>
        <v>1</v>
      </c>
      <c r="L38" s="2597">
        <f t="shared" si="5"/>
        <v>0</v>
      </c>
      <c r="M38" s="2597">
        <f t="shared" si="5"/>
        <v>1</v>
      </c>
      <c r="N38" s="2597">
        <f t="shared" si="5"/>
        <v>1</v>
      </c>
      <c r="O38" s="2597">
        <f t="shared" si="5"/>
        <v>0</v>
      </c>
      <c r="P38" s="2597">
        <f t="shared" si="5"/>
        <v>0</v>
      </c>
      <c r="Q38" s="2597">
        <f t="shared" si="5"/>
        <v>0</v>
      </c>
      <c r="R38" s="2597">
        <f t="shared" si="5"/>
        <v>0</v>
      </c>
      <c r="S38" s="2597">
        <f t="shared" si="5"/>
        <v>1</v>
      </c>
      <c r="T38" s="2597">
        <f t="shared" si="5"/>
        <v>1</v>
      </c>
    </row>
    <row r="39" ht="18.75" customHeight="1">
      <c r="A39" s="44"/>
      <c r="B39" s="2601" t="s">
        <v>121</v>
      </c>
      <c r="C39" s="44"/>
      <c r="D39" s="2602">
        <f t="shared" ref="D39:T39" si="6">COUNTIF(D5:D34,"NG")</f>
        <v>3</v>
      </c>
      <c r="E39" s="2602">
        <f t="shared" si="6"/>
        <v>3</v>
      </c>
      <c r="F39" s="2602">
        <f t="shared" si="6"/>
        <v>3</v>
      </c>
      <c r="G39" s="2602">
        <f t="shared" si="6"/>
        <v>3</v>
      </c>
      <c r="H39" s="2602">
        <f t="shared" si="6"/>
        <v>3</v>
      </c>
      <c r="I39" s="2602">
        <f t="shared" si="6"/>
        <v>3</v>
      </c>
      <c r="J39" s="2602">
        <f t="shared" si="6"/>
        <v>3</v>
      </c>
      <c r="K39" s="2602">
        <f t="shared" si="6"/>
        <v>3</v>
      </c>
      <c r="L39" s="2602">
        <f t="shared" si="6"/>
        <v>3</v>
      </c>
      <c r="M39" s="2602">
        <f t="shared" si="6"/>
        <v>3</v>
      </c>
      <c r="N39" s="2602">
        <f t="shared" si="6"/>
        <v>3</v>
      </c>
      <c r="O39" s="2602">
        <f t="shared" si="6"/>
        <v>3</v>
      </c>
      <c r="P39" s="2602">
        <f t="shared" si="6"/>
        <v>1</v>
      </c>
      <c r="Q39" s="2602">
        <f t="shared" si="6"/>
        <v>1</v>
      </c>
      <c r="R39" s="2602">
        <f t="shared" si="6"/>
        <v>1</v>
      </c>
      <c r="S39" s="2602">
        <f t="shared" si="6"/>
        <v>1</v>
      </c>
      <c r="T39" s="2602">
        <f t="shared" si="6"/>
        <v>1</v>
      </c>
    </row>
    <row r="40" ht="18.75" customHeight="1">
      <c r="A40" s="44"/>
      <c r="B40" s="2606" t="s">
        <v>122</v>
      </c>
      <c r="C40" s="44"/>
      <c r="D40" s="2607">
        <f t="shared" ref="D40:T40" si="7">SUM(D36:D39)</f>
        <v>25</v>
      </c>
      <c r="E40" s="2607">
        <f t="shared" si="7"/>
        <v>25</v>
      </c>
      <c r="F40" s="2607">
        <f t="shared" si="7"/>
        <v>25</v>
      </c>
      <c r="G40" s="2607">
        <f t="shared" si="7"/>
        <v>25</v>
      </c>
      <c r="H40" s="2607">
        <f t="shared" si="7"/>
        <v>25</v>
      </c>
      <c r="I40" s="2607">
        <f t="shared" si="7"/>
        <v>25</v>
      </c>
      <c r="J40" s="2607">
        <f t="shared" si="7"/>
        <v>25</v>
      </c>
      <c r="K40" s="2607">
        <f t="shared" si="7"/>
        <v>25</v>
      </c>
      <c r="L40" s="2607">
        <f t="shared" si="7"/>
        <v>25</v>
      </c>
      <c r="M40" s="2607">
        <f t="shared" si="7"/>
        <v>25</v>
      </c>
      <c r="N40" s="2607">
        <f t="shared" si="7"/>
        <v>25</v>
      </c>
      <c r="O40" s="2607">
        <f t="shared" si="7"/>
        <v>25</v>
      </c>
      <c r="P40" s="2607">
        <f t="shared" si="7"/>
        <v>25</v>
      </c>
      <c r="Q40" s="2607">
        <f t="shared" si="7"/>
        <v>25</v>
      </c>
      <c r="R40" s="2607">
        <f t="shared" si="7"/>
        <v>25</v>
      </c>
      <c r="S40" s="2607">
        <f t="shared" si="7"/>
        <v>25</v>
      </c>
      <c r="T40" s="2607">
        <f t="shared" si="7"/>
        <v>25</v>
      </c>
    </row>
    <row r="41" ht="18.75" customHeight="1">
      <c r="A41" s="44"/>
      <c r="B41" s="2611" t="s">
        <v>124</v>
      </c>
      <c r="C41" s="44"/>
      <c r="D41" s="2612">
        <f t="shared" ref="D41:T41" si="8">D36+D37+D38</f>
        <v>22</v>
      </c>
      <c r="E41" s="2612">
        <f t="shared" si="8"/>
        <v>22</v>
      </c>
      <c r="F41" s="2612">
        <f t="shared" si="8"/>
        <v>22</v>
      </c>
      <c r="G41" s="2612">
        <f t="shared" si="8"/>
        <v>22</v>
      </c>
      <c r="H41" s="2612">
        <f t="shared" si="8"/>
        <v>22</v>
      </c>
      <c r="I41" s="2612">
        <f t="shared" si="8"/>
        <v>22</v>
      </c>
      <c r="J41" s="2612">
        <f t="shared" si="8"/>
        <v>22</v>
      </c>
      <c r="K41" s="2612">
        <f t="shared" si="8"/>
        <v>22</v>
      </c>
      <c r="L41" s="2612">
        <f t="shared" si="8"/>
        <v>22</v>
      </c>
      <c r="M41" s="2612">
        <f t="shared" si="8"/>
        <v>22</v>
      </c>
      <c r="N41" s="2612">
        <f t="shared" si="8"/>
        <v>22</v>
      </c>
      <c r="O41" s="2612">
        <f t="shared" si="8"/>
        <v>22</v>
      </c>
      <c r="P41" s="2612">
        <f t="shared" si="8"/>
        <v>24</v>
      </c>
      <c r="Q41" s="2612">
        <f t="shared" si="8"/>
        <v>24</v>
      </c>
      <c r="R41" s="2612">
        <f t="shared" si="8"/>
        <v>24</v>
      </c>
      <c r="S41" s="2612">
        <f t="shared" si="8"/>
        <v>24</v>
      </c>
      <c r="T41" s="2612">
        <f t="shared" si="8"/>
        <v>24</v>
      </c>
    </row>
    <row r="42" ht="18.75" customHeight="1">
      <c r="A42" s="228"/>
      <c r="B42" s="2616" t="s">
        <v>125</v>
      </c>
      <c r="C42" s="228"/>
      <c r="D42" s="2617">
        <f t="shared" ref="D42:T42" si="9">IFERROR(D41/D40,"")</f>
        <v>0.88</v>
      </c>
      <c r="E42" s="2617">
        <f t="shared" si="9"/>
        <v>0.88</v>
      </c>
      <c r="F42" s="2617">
        <f t="shared" si="9"/>
        <v>0.88</v>
      </c>
      <c r="G42" s="2617">
        <f t="shared" si="9"/>
        <v>0.88</v>
      </c>
      <c r="H42" s="2617">
        <f t="shared" si="9"/>
        <v>0.88</v>
      </c>
      <c r="I42" s="2617">
        <f t="shared" si="9"/>
        <v>0.88</v>
      </c>
      <c r="J42" s="2617">
        <f t="shared" si="9"/>
        <v>0.88</v>
      </c>
      <c r="K42" s="2617">
        <f t="shared" si="9"/>
        <v>0.88</v>
      </c>
      <c r="L42" s="2617">
        <f t="shared" si="9"/>
        <v>0.88</v>
      </c>
      <c r="M42" s="2617">
        <f t="shared" si="9"/>
        <v>0.88</v>
      </c>
      <c r="N42" s="2617">
        <f t="shared" si="9"/>
        <v>0.88</v>
      </c>
      <c r="O42" s="2617">
        <f t="shared" si="9"/>
        <v>0.88</v>
      </c>
      <c r="P42" s="2617">
        <f t="shared" si="9"/>
        <v>0.96</v>
      </c>
      <c r="Q42" s="2617">
        <f t="shared" si="9"/>
        <v>0.96</v>
      </c>
      <c r="R42" s="2617">
        <f t="shared" si="9"/>
        <v>0.96</v>
      </c>
      <c r="S42" s="2617">
        <f t="shared" si="9"/>
        <v>0.96</v>
      </c>
      <c r="T42" s="2617">
        <f t="shared" si="9"/>
        <v>0.96</v>
      </c>
    </row>
  </sheetData>
  <mergeCells count="17">
    <mergeCell ref="A2:C2"/>
    <mergeCell ref="D2:T4"/>
    <mergeCell ref="A3:C4"/>
    <mergeCell ref="A7:A20"/>
    <mergeCell ref="B7:B13"/>
    <mergeCell ref="B14:B20"/>
    <mergeCell ref="A22:A34"/>
    <mergeCell ref="B40:C40"/>
    <mergeCell ref="B41:C41"/>
    <mergeCell ref="B22:B27"/>
    <mergeCell ref="B28:B31"/>
    <mergeCell ref="A36:A42"/>
    <mergeCell ref="B36:C36"/>
    <mergeCell ref="B37:C37"/>
    <mergeCell ref="B38:C38"/>
    <mergeCell ref="B39:C39"/>
    <mergeCell ref="B42:C42"/>
  </mergeCells>
  <conditionalFormatting sqref="J15:Q15 R15:T16 D16:I16 P28:Q28 R28:T30 D29:O29">
    <cfRule type="containsText" dxfId="5" priority="1" operator="containsText" text="NG">
      <formula>NOT(ISERROR(SEARCH(("NG"),(J15))))</formula>
    </cfRule>
  </conditionalFormatting>
  <conditionalFormatting sqref="A3 B22">
    <cfRule type="containsText" dxfId="0" priority="2" operator="containsText" text="voor">
      <formula>NOT(ISERROR(SEARCH(("voor"),(A3))))</formula>
    </cfRule>
  </conditionalFormatting>
  <conditionalFormatting sqref="D7:T34 R36:T36">
    <cfRule type="containsText" dxfId="2" priority="3" operator="containsText" text="SO">
      <formula>NOT(ISERROR(SEARCH(("SO"),(D7))))</formula>
    </cfRule>
  </conditionalFormatting>
  <conditionalFormatting sqref="A3 D7:T34 B22 R36:T36">
    <cfRule type="containsText" dxfId="1" priority="4" operator="containsText" text="tegen">
      <formula>NOT(ISERROR(SEARCH(("tegen"),(A3))))</formula>
    </cfRule>
  </conditionalFormatting>
  <conditionalFormatting sqref="D7:T34 R36:T36">
    <cfRule type="containsText" dxfId="4" priority="5" operator="containsText" text="voor">
      <formula>NOT(ISERROR(SEARCH(("voor"),(D7))))</formula>
    </cfRule>
  </conditionalFormatting>
  <conditionalFormatting sqref="D7:T34 R36:T36">
    <cfRule type="cellIs" dxfId="5" priority="6" operator="equal">
      <formula>"NG"</formula>
    </cfRule>
  </conditionalFormatting>
  <conditionalFormatting sqref="D7:T34 R36:T36">
    <cfRule type="containsText" dxfId="6" priority="7" operator="containsText" text="NVT">
      <formula>NOT(ISERROR(SEARCH(("NVT"),(D7))))</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CC4125"/>
    <outlinePr summaryBelow="0" summaryRight="0"/>
  </sheetPr>
  <sheetViews>
    <sheetView workbookViewId="0">
      <pane xSplit="3.0" ySplit="6.0" topLeftCell="D7" activePane="bottomRight" state="frozen"/>
      <selection activeCell="D1" sqref="D1" pane="topRight"/>
      <selection activeCell="A7" sqref="A7" pane="bottomLeft"/>
      <selection activeCell="D7" sqref="D7" pane="bottomRight"/>
    </sheetView>
  </sheetViews>
  <sheetFormatPr customHeight="1" defaultColWidth="14.43" defaultRowHeight="15.75"/>
  <cols>
    <col customWidth="1" min="1" max="1" width="10.86"/>
    <col customWidth="1" min="2" max="2" width="11.0"/>
    <col customWidth="1" min="3" max="3" width="26.29"/>
  </cols>
  <sheetData>
    <row r="1" ht="18.75" customHeight="1">
      <c r="A1" s="127" t="s">
        <v>126</v>
      </c>
      <c r="B1" s="128"/>
      <c r="C1" s="128"/>
      <c r="D1" s="128"/>
      <c r="E1" s="128"/>
      <c r="F1" s="128"/>
      <c r="G1" s="129"/>
      <c r="H1" s="129"/>
      <c r="I1" s="129"/>
      <c r="J1" s="129"/>
      <c r="K1" s="129"/>
      <c r="L1" s="129"/>
      <c r="M1" s="129"/>
      <c r="N1" s="129"/>
      <c r="O1" s="129"/>
      <c r="P1" s="129"/>
      <c r="Q1" s="129"/>
    </row>
    <row r="2" ht="18.75" customHeight="1">
      <c r="A2" s="130" t="s">
        <v>79</v>
      </c>
      <c r="B2" s="131"/>
      <c r="C2" s="132"/>
      <c r="D2" s="233" t="s">
        <v>127</v>
      </c>
      <c r="E2" s="124"/>
      <c r="F2" s="124"/>
      <c r="G2" s="124"/>
      <c r="H2" s="124"/>
      <c r="I2" s="124"/>
      <c r="J2" s="124"/>
      <c r="K2" s="124"/>
      <c r="L2" s="124"/>
      <c r="M2" s="124"/>
      <c r="N2" s="124"/>
      <c r="O2" s="124"/>
      <c r="P2" s="124"/>
      <c r="Q2" s="20"/>
    </row>
    <row r="3" ht="18.75" customHeight="1">
      <c r="A3" s="134" t="s">
        <v>128</v>
      </c>
      <c r="C3" s="135"/>
      <c r="Q3" s="44"/>
    </row>
    <row r="4" ht="18.75" customHeight="1">
      <c r="C4" s="135"/>
      <c r="D4" s="137" t="s">
        <v>129</v>
      </c>
      <c r="E4" s="16"/>
      <c r="F4" s="16"/>
      <c r="G4" s="16"/>
      <c r="H4" s="17"/>
      <c r="I4" s="137" t="s">
        <v>130</v>
      </c>
      <c r="J4" s="17"/>
      <c r="K4" s="137" t="s">
        <v>131</v>
      </c>
      <c r="L4" s="16"/>
      <c r="M4" s="16"/>
      <c r="N4" s="16"/>
      <c r="O4" s="16"/>
      <c r="P4" s="17"/>
      <c r="Q4" s="138"/>
    </row>
    <row r="5" ht="18.75" customHeight="1">
      <c r="A5" s="139" t="s">
        <v>86</v>
      </c>
      <c r="B5" s="140" t="s">
        <v>87</v>
      </c>
      <c r="C5" s="141" t="s">
        <v>88</v>
      </c>
      <c r="D5" s="234" t="str">
        <f>hyperlink("https://reddit.com/r/RMTK/comments/huioh6", "W0113")</f>
        <v>W0113</v>
      </c>
      <c r="E5" s="235" t="str">
        <f>HYPERLINK("https://reddit.com/r/RMTK/comments/hzbyx6", "W0118")</f>
        <v>W0118</v>
      </c>
      <c r="F5" s="236" t="str">
        <f>hyperlink("https://reddit.com/r/RMTK/comments/i0jew5", "W0119")</f>
        <v>W0119</v>
      </c>
      <c r="G5" s="237" t="str">
        <f>hyperlink("https://reddit.com/r/RMTK/comments/i2ucsj", "W0120")</f>
        <v>W0120</v>
      </c>
      <c r="H5" s="238" t="str">
        <f>HYPERLINK("https://reddit.com/r/RMTK/comments/i7p1yp", "W0122")</f>
        <v>W0122</v>
      </c>
      <c r="I5" s="239" t="str">
        <f>HYPERLINK("https://reddit.com/r/RMTK/comments/i8x6kl", "W0121")</f>
        <v>W0121</v>
      </c>
      <c r="J5" s="240" t="str">
        <f>HYPERLINK("https://reddit.com/r/RMTK/comments/i8b10u", "W0124")</f>
        <v>W0124</v>
      </c>
      <c r="K5" s="241" t="str">
        <f>HYPERLINK("https://reddit.com/r/RMTK/comments/i8x6kl", "W0121")</f>
        <v>W0121</v>
      </c>
      <c r="L5" s="235" t="str">
        <f>HYPERLINK("https://reddit.com/r/RMTK/comments/i5b4d5", "W0123")</f>
        <v>W0123</v>
      </c>
      <c r="M5" s="242" t="str">
        <f>HYPERLINK("https://reddit.com/r/RMTK/comments/i8b10u", "W0124")</f>
        <v>W0124</v>
      </c>
      <c r="N5" s="235" t="str">
        <f>HYPERLINK("https://reddit.com/r/RMTK/comments/ickt5u", "W0125")</f>
        <v>W0125</v>
      </c>
      <c r="O5" s="235" t="str">
        <f>HYPERLINK("https://reddit.com/r/RMTK/comments/id7iyi", "W0126")</f>
        <v>W0126</v>
      </c>
      <c r="P5" s="243" t="str">
        <f>HYPERLINK("https://reddit.com/r/RMTK/comments/ig98vn", "W0127")</f>
        <v>W0127</v>
      </c>
      <c r="Q5" s="244"/>
    </row>
    <row r="6" ht="6.0" customHeight="1">
      <c r="A6" s="145"/>
      <c r="B6" s="146"/>
      <c r="C6" s="146"/>
      <c r="D6" s="245"/>
      <c r="E6" s="246"/>
      <c r="F6" s="246"/>
      <c r="G6" s="246"/>
      <c r="H6" s="247"/>
      <c r="I6" s="246"/>
      <c r="J6" s="247"/>
      <c r="K6" s="246"/>
      <c r="L6" s="246"/>
      <c r="M6" s="246"/>
      <c r="N6" s="246"/>
      <c r="O6" s="246"/>
      <c r="P6" s="247"/>
      <c r="Q6" s="248"/>
    </row>
    <row r="7" ht="18.75" customHeight="1">
      <c r="A7" s="249" t="s">
        <v>132</v>
      </c>
      <c r="B7" s="150" t="s">
        <v>15</v>
      </c>
      <c r="C7" s="250" t="s">
        <v>90</v>
      </c>
      <c r="D7" s="251" t="s">
        <v>91</v>
      </c>
      <c r="E7" s="252" t="s">
        <v>91</v>
      </c>
      <c r="F7" s="252" t="s">
        <v>91</v>
      </c>
      <c r="G7" s="252" t="s">
        <v>91</v>
      </c>
      <c r="H7" s="253" t="s">
        <v>91</v>
      </c>
      <c r="I7" s="252" t="s">
        <v>91</v>
      </c>
      <c r="J7" s="253" t="s">
        <v>91</v>
      </c>
      <c r="K7" s="252" t="s">
        <v>91</v>
      </c>
      <c r="L7" s="252" t="s">
        <v>91</v>
      </c>
      <c r="M7" s="252" t="s">
        <v>93</v>
      </c>
      <c r="N7" s="254" t="s">
        <v>133</v>
      </c>
      <c r="O7" s="252" t="s">
        <v>91</v>
      </c>
      <c r="P7" s="253" t="s">
        <v>91</v>
      </c>
      <c r="Q7" s="252" t="s">
        <v>93</v>
      </c>
    </row>
    <row r="8" ht="18.75" customHeight="1">
      <c r="A8" s="168"/>
      <c r="B8" s="255" t="s">
        <v>36</v>
      </c>
      <c r="C8" s="256" t="s">
        <v>134</v>
      </c>
      <c r="D8" s="251" t="s">
        <v>91</v>
      </c>
      <c r="E8" s="252" t="s">
        <v>91</v>
      </c>
      <c r="F8" s="252" t="s">
        <v>91</v>
      </c>
      <c r="G8" s="252" t="s">
        <v>91</v>
      </c>
      <c r="H8" s="253" t="s">
        <v>91</v>
      </c>
      <c r="I8" s="252" t="s">
        <v>93</v>
      </c>
      <c r="J8" s="253" t="s">
        <v>93</v>
      </c>
      <c r="K8" s="252" t="s">
        <v>91</v>
      </c>
      <c r="L8" s="252" t="s">
        <v>92</v>
      </c>
      <c r="M8" s="252" t="s">
        <v>91</v>
      </c>
      <c r="N8" s="252" t="s">
        <v>92</v>
      </c>
      <c r="O8" s="252" t="s">
        <v>91</v>
      </c>
      <c r="P8" s="253" t="s">
        <v>92</v>
      </c>
      <c r="Q8" s="252" t="s">
        <v>93</v>
      </c>
    </row>
    <row r="9" ht="9.75" customHeight="1">
      <c r="A9" s="170"/>
      <c r="B9" s="172"/>
      <c r="C9" s="172"/>
      <c r="D9" s="257" t="str">
        <f t="shared" ref="D9:P9" si="1">linkURL(D5)</f>
        <v>https://reddit.com/r/RMTK/comments/huioh6</v>
      </c>
      <c r="E9" s="257" t="str">
        <f t="shared" si="1"/>
        <v>https://reddit.com/r/RMTK/comments/hzbyx6</v>
      </c>
      <c r="F9" s="257" t="str">
        <f t="shared" si="1"/>
        <v>https://reddit.com/r/RMTK/comments/i0jew5</v>
      </c>
      <c r="G9" s="257" t="str">
        <f t="shared" si="1"/>
        <v>https://reddit.com/r/RMTK/comments/i2ucsj</v>
      </c>
      <c r="H9" s="258" t="str">
        <f t="shared" si="1"/>
        <v>https://reddit.com/r/RMTK/comments/i7p1yp</v>
      </c>
      <c r="I9" s="257" t="str">
        <f t="shared" si="1"/>
        <v>https://reddit.com/r/RMTK/comments/i8x6kl</v>
      </c>
      <c r="J9" s="258" t="str">
        <f t="shared" si="1"/>
        <v>https://reddit.com/r/RMTK/comments/i8b10u</v>
      </c>
      <c r="K9" s="257" t="str">
        <f t="shared" si="1"/>
        <v>https://reddit.com/r/RMTK/comments/i8x6kl</v>
      </c>
      <c r="L9" s="257" t="str">
        <f t="shared" si="1"/>
        <v>https://reddit.com/r/RMTK/comments/i5b4d5</v>
      </c>
      <c r="M9" s="257" t="str">
        <f t="shared" si="1"/>
        <v>https://reddit.com/r/RMTK/comments/i8b10u</v>
      </c>
      <c r="N9" s="257" t="str">
        <f t="shared" si="1"/>
        <v>https://reddit.com/r/RMTK/comments/ickt5u</v>
      </c>
      <c r="O9" s="257" t="str">
        <f t="shared" si="1"/>
        <v>https://reddit.com/r/RMTK/comments/id7iyi</v>
      </c>
      <c r="P9" s="258" t="str">
        <f t="shared" si="1"/>
        <v>https://reddit.com/r/RMTK/comments/ig98vn</v>
      </c>
      <c r="Q9" s="259"/>
    </row>
    <row r="10" ht="18.75" customHeight="1">
      <c r="A10" s="249" t="s">
        <v>135</v>
      </c>
      <c r="B10" s="177" t="s">
        <v>24</v>
      </c>
      <c r="C10" s="260" t="s">
        <v>106</v>
      </c>
      <c r="D10" s="251" t="s">
        <v>91</v>
      </c>
      <c r="E10" s="252" t="s">
        <v>91</v>
      </c>
      <c r="F10" s="252" t="s">
        <v>91</v>
      </c>
      <c r="G10" s="252" t="s">
        <v>91</v>
      </c>
      <c r="H10" s="253" t="s">
        <v>91</v>
      </c>
      <c r="I10" s="252" t="s">
        <v>91</v>
      </c>
      <c r="J10" s="253" t="s">
        <v>91</v>
      </c>
      <c r="K10" s="252" t="s">
        <v>91</v>
      </c>
      <c r="L10" s="252" t="s">
        <v>91</v>
      </c>
      <c r="M10" s="252" t="s">
        <v>91</v>
      </c>
      <c r="N10" s="252" t="s">
        <v>91</v>
      </c>
      <c r="O10" s="252" t="s">
        <v>91</v>
      </c>
      <c r="P10" s="253" t="s">
        <v>91</v>
      </c>
      <c r="Q10" s="252" t="s">
        <v>93</v>
      </c>
    </row>
    <row r="11" ht="18.75" customHeight="1">
      <c r="A11" s="168"/>
      <c r="B11" s="180" t="s">
        <v>31</v>
      </c>
      <c r="C11" s="181" t="s">
        <v>136</v>
      </c>
      <c r="D11" s="251" t="s">
        <v>91</v>
      </c>
      <c r="E11" s="252" t="s">
        <v>91</v>
      </c>
      <c r="F11" s="252" t="s">
        <v>91</v>
      </c>
      <c r="G11" s="252" t="s">
        <v>91</v>
      </c>
      <c r="H11" s="253" t="s">
        <v>91</v>
      </c>
      <c r="I11" s="252" t="s">
        <v>93</v>
      </c>
      <c r="J11" s="253" t="s">
        <v>93</v>
      </c>
      <c r="K11" s="252" t="s">
        <v>91</v>
      </c>
      <c r="L11" s="252" t="s">
        <v>91</v>
      </c>
      <c r="M11" s="252" t="s">
        <v>91</v>
      </c>
      <c r="N11" s="252" t="s">
        <v>91</v>
      </c>
      <c r="O11" s="252" t="s">
        <v>91</v>
      </c>
      <c r="P11" s="253" t="s">
        <v>91</v>
      </c>
      <c r="Q11" s="252" t="s">
        <v>93</v>
      </c>
    </row>
    <row r="12" ht="11.25" customHeight="1">
      <c r="A12" s="261"/>
      <c r="B12" s="261"/>
      <c r="C12" s="261"/>
      <c r="D12" s="262" t="str">
        <f t="shared" ref="D12:P12" si="2">CONCATENATE("{""status"": ", IF(GT(D13, D14), """aangenomen""", """verworpen"""), ", ""title"": """, D5, """, ""url"": """,D9  , """, ""voor"":", D13,", ""tegen"": ", D14, ", ""onthouden"":", D15, "}")</f>
        <v>{"status": "aangenomen", "title": "W0113", "url": "https://reddit.com/r/RMTK/comments/huioh6", "voor":4, "tegen": 0, "onthouden":0}</v>
      </c>
      <c r="E12" s="262" t="str">
        <f t="shared" si="2"/>
        <v>{"status": "aangenomen", "title": "W0118", "url": "https://reddit.com/r/RMTK/comments/hzbyx6", "voor":4, "tegen": 0, "onthouden":0}</v>
      </c>
      <c r="F12" s="262" t="str">
        <f t="shared" si="2"/>
        <v>{"status": "aangenomen", "title": "W0119", "url": "https://reddit.com/r/RMTK/comments/i0jew5", "voor":4, "tegen": 0, "onthouden":0}</v>
      </c>
      <c r="G12" s="262" t="str">
        <f t="shared" si="2"/>
        <v>{"status": "aangenomen", "title": "W0120", "url": "https://reddit.com/r/RMTK/comments/i2ucsj", "voor":4, "tegen": 0, "onthouden":0}</v>
      </c>
      <c r="H12" s="263" t="str">
        <f t="shared" si="2"/>
        <v>{"status": "aangenomen", "title": "W0122", "url": "https://reddit.com/r/RMTK/comments/i7p1yp", "voor":4, "tegen": 0, "onthouden":0}</v>
      </c>
      <c r="I12" s="262" t="str">
        <f t="shared" si="2"/>
        <v>{"status": "aangenomen", "title": "W0121", "url": "https://reddit.com/r/RMTK/comments/i8x6kl", "voor":2, "tegen": 0, "onthouden":0}</v>
      </c>
      <c r="J12" s="263" t="str">
        <f t="shared" si="2"/>
        <v>{"status": "aangenomen", "title": "W0124", "url": "https://reddit.com/r/RMTK/comments/i8b10u", "voor":2, "tegen": 0, "onthouden":0}</v>
      </c>
      <c r="K12" s="262" t="str">
        <f t="shared" si="2"/>
        <v>{"status": "aangenomen", "title": "W0121", "url": "https://reddit.com/r/RMTK/comments/i8x6kl", "voor":4, "tegen": 0, "onthouden":0}</v>
      </c>
      <c r="L12" s="262" t="str">
        <f t="shared" si="2"/>
        <v>{"status": "aangenomen", "title": "W0123", "url": "https://reddit.com/r/RMTK/comments/i5b4d5", "voor":3, "tegen": 1, "onthouden":0}</v>
      </c>
      <c r="M12" s="262" t="str">
        <f t="shared" si="2"/>
        <v>{"status": "aangenomen", "title": "W0124", "url": "https://reddit.com/r/RMTK/comments/i8b10u", "voor":3, "tegen": 0, "onthouden":0}</v>
      </c>
      <c r="N12" s="262" t="str">
        <f t="shared" si="2"/>
        <v>{"status": "aangenomen", "title": "W0125", "url": "https://reddit.com/r/RMTK/comments/ickt5u", "voor":2, "tegen": 1, "onthouden":0}</v>
      </c>
      <c r="O12" s="262" t="str">
        <f t="shared" si="2"/>
        <v>{"status": "aangenomen", "title": "W0126", "url": "https://reddit.com/r/RMTK/comments/id7iyi", "voor":4, "tegen": 0, "onthouden":0}</v>
      </c>
      <c r="P12" s="263" t="str">
        <f t="shared" si="2"/>
        <v>{"status": "aangenomen", "title": "W0127", "url": "https://reddit.com/r/RMTK/comments/ig98vn", "voor":3, "tegen": 1, "onthouden":0}</v>
      </c>
      <c r="Q12" s="264"/>
    </row>
    <row r="13" ht="18.0" customHeight="1">
      <c r="A13" s="198" t="s">
        <v>119</v>
      </c>
      <c r="B13" s="199" t="s">
        <v>91</v>
      </c>
      <c r="C13" s="44"/>
      <c r="D13" s="265">
        <f t="shared" ref="D13:Q13" si="3">COUNTIF(D5:D11,"Voor")</f>
        <v>4</v>
      </c>
      <c r="E13" s="265">
        <f t="shared" si="3"/>
        <v>4</v>
      </c>
      <c r="F13" s="265">
        <f t="shared" si="3"/>
        <v>4</v>
      </c>
      <c r="G13" s="265">
        <f t="shared" si="3"/>
        <v>4</v>
      </c>
      <c r="H13" s="266">
        <f t="shared" si="3"/>
        <v>4</v>
      </c>
      <c r="I13" s="265">
        <f t="shared" si="3"/>
        <v>2</v>
      </c>
      <c r="J13" s="266">
        <f t="shared" si="3"/>
        <v>2</v>
      </c>
      <c r="K13" s="265">
        <f t="shared" si="3"/>
        <v>4</v>
      </c>
      <c r="L13" s="265">
        <f t="shared" si="3"/>
        <v>3</v>
      </c>
      <c r="M13" s="265">
        <f t="shared" si="3"/>
        <v>3</v>
      </c>
      <c r="N13" s="265">
        <f t="shared" si="3"/>
        <v>2</v>
      </c>
      <c r="O13" s="265">
        <f t="shared" si="3"/>
        <v>4</v>
      </c>
      <c r="P13" s="266">
        <f t="shared" si="3"/>
        <v>3</v>
      </c>
      <c r="Q13" s="265">
        <f t="shared" si="3"/>
        <v>0</v>
      </c>
    </row>
    <row r="14" ht="18.75" customHeight="1">
      <c r="A14" s="44"/>
      <c r="B14" s="203" t="s">
        <v>92</v>
      </c>
      <c r="C14" s="44"/>
      <c r="D14" s="267">
        <f t="shared" ref="D14:Q14" si="4">COUNTIF(D5:D11,"Tegen")</f>
        <v>0</v>
      </c>
      <c r="E14" s="267">
        <f t="shared" si="4"/>
        <v>0</v>
      </c>
      <c r="F14" s="267">
        <f t="shared" si="4"/>
        <v>0</v>
      </c>
      <c r="G14" s="267">
        <f t="shared" si="4"/>
        <v>0</v>
      </c>
      <c r="H14" s="268">
        <f t="shared" si="4"/>
        <v>0</v>
      </c>
      <c r="I14" s="267">
        <f t="shared" si="4"/>
        <v>0</v>
      </c>
      <c r="J14" s="268">
        <f t="shared" si="4"/>
        <v>0</v>
      </c>
      <c r="K14" s="267">
        <f t="shared" si="4"/>
        <v>0</v>
      </c>
      <c r="L14" s="267">
        <f t="shared" si="4"/>
        <v>1</v>
      </c>
      <c r="M14" s="267">
        <f t="shared" si="4"/>
        <v>0</v>
      </c>
      <c r="N14" s="267">
        <f t="shared" si="4"/>
        <v>1</v>
      </c>
      <c r="O14" s="267">
        <f t="shared" si="4"/>
        <v>0</v>
      </c>
      <c r="P14" s="268">
        <f t="shared" si="4"/>
        <v>1</v>
      </c>
      <c r="Q14" s="267">
        <f t="shared" si="4"/>
        <v>0</v>
      </c>
    </row>
    <row r="15" ht="18.75" customHeight="1">
      <c r="A15" s="44"/>
      <c r="B15" s="207" t="s">
        <v>120</v>
      </c>
      <c r="C15" s="44"/>
      <c r="D15" s="269">
        <f t="shared" ref="D15:Q15" si="5">COUNTIF(D5:D11,"SO")</f>
        <v>0</v>
      </c>
      <c r="E15" s="269">
        <f t="shared" si="5"/>
        <v>0</v>
      </c>
      <c r="F15" s="269">
        <f t="shared" si="5"/>
        <v>0</v>
      </c>
      <c r="G15" s="269">
        <f t="shared" si="5"/>
        <v>0</v>
      </c>
      <c r="H15" s="270">
        <f t="shared" si="5"/>
        <v>0</v>
      </c>
      <c r="I15" s="269">
        <f t="shared" si="5"/>
        <v>0</v>
      </c>
      <c r="J15" s="270">
        <f t="shared" si="5"/>
        <v>0</v>
      </c>
      <c r="K15" s="269">
        <f t="shared" si="5"/>
        <v>0</v>
      </c>
      <c r="L15" s="269">
        <f t="shared" si="5"/>
        <v>0</v>
      </c>
      <c r="M15" s="269">
        <f t="shared" si="5"/>
        <v>0</v>
      </c>
      <c r="N15" s="269">
        <f t="shared" si="5"/>
        <v>0</v>
      </c>
      <c r="O15" s="269">
        <f t="shared" si="5"/>
        <v>0</v>
      </c>
      <c r="P15" s="270">
        <f t="shared" si="5"/>
        <v>0</v>
      </c>
      <c r="Q15" s="269">
        <f t="shared" si="5"/>
        <v>0</v>
      </c>
    </row>
    <row r="16" ht="18.75" customHeight="1">
      <c r="A16" s="44"/>
      <c r="B16" s="211" t="s">
        <v>121</v>
      </c>
      <c r="C16" s="44"/>
      <c r="D16" s="271">
        <f t="shared" ref="D16:Q16" si="6">COUNTIF(D5:D11,"NG")</f>
        <v>0</v>
      </c>
      <c r="E16" s="271">
        <f t="shared" si="6"/>
        <v>0</v>
      </c>
      <c r="F16" s="271">
        <f t="shared" si="6"/>
        <v>0</v>
      </c>
      <c r="G16" s="271">
        <f t="shared" si="6"/>
        <v>0</v>
      </c>
      <c r="H16" s="272">
        <f t="shared" si="6"/>
        <v>0</v>
      </c>
      <c r="I16" s="271">
        <f t="shared" si="6"/>
        <v>2</v>
      </c>
      <c r="J16" s="272">
        <f t="shared" si="6"/>
        <v>2</v>
      </c>
      <c r="K16" s="271">
        <f t="shared" si="6"/>
        <v>0</v>
      </c>
      <c r="L16" s="271">
        <f t="shared" si="6"/>
        <v>0</v>
      </c>
      <c r="M16" s="271">
        <f t="shared" si="6"/>
        <v>1</v>
      </c>
      <c r="N16" s="271">
        <f t="shared" si="6"/>
        <v>0</v>
      </c>
      <c r="O16" s="271">
        <f t="shared" si="6"/>
        <v>0</v>
      </c>
      <c r="P16" s="272">
        <f t="shared" si="6"/>
        <v>0</v>
      </c>
      <c r="Q16" s="271">
        <f t="shared" si="6"/>
        <v>4</v>
      </c>
    </row>
    <row r="17" ht="18.75" customHeight="1">
      <c r="A17" s="44"/>
      <c r="B17" s="215" t="s">
        <v>122</v>
      </c>
      <c r="C17" s="44"/>
      <c r="D17" s="273">
        <f t="shared" ref="D17:Q17" si="7">SUM(D13:D16)+COUNTIF(D5:D11,"Ongeldig")</f>
        <v>4</v>
      </c>
      <c r="E17" s="274">
        <f t="shared" si="7"/>
        <v>4</v>
      </c>
      <c r="F17" s="274">
        <f t="shared" si="7"/>
        <v>4</v>
      </c>
      <c r="G17" s="274">
        <f t="shared" si="7"/>
        <v>4</v>
      </c>
      <c r="H17" s="275">
        <f t="shared" si="7"/>
        <v>4</v>
      </c>
      <c r="I17" s="274">
        <f t="shared" si="7"/>
        <v>4</v>
      </c>
      <c r="J17" s="275">
        <f t="shared" si="7"/>
        <v>4</v>
      </c>
      <c r="K17" s="273">
        <f t="shared" si="7"/>
        <v>4</v>
      </c>
      <c r="L17" s="274">
        <f t="shared" si="7"/>
        <v>4</v>
      </c>
      <c r="M17" s="274">
        <f t="shared" si="7"/>
        <v>4</v>
      </c>
      <c r="N17" s="274">
        <f t="shared" si="7"/>
        <v>4</v>
      </c>
      <c r="O17" s="274">
        <f t="shared" si="7"/>
        <v>4</v>
      </c>
      <c r="P17" s="275">
        <f t="shared" si="7"/>
        <v>4</v>
      </c>
      <c r="Q17" s="274">
        <f t="shared" si="7"/>
        <v>4</v>
      </c>
    </row>
    <row r="18" ht="18.75" customHeight="1">
      <c r="A18" s="44"/>
      <c r="B18" s="219" t="s">
        <v>123</v>
      </c>
      <c r="C18" s="44"/>
      <c r="D18" s="276" t="str">
        <f t="shared" ref="D18:Q18" si="8">IF(D19&lt;=D16, "Ongeldig", IF(D13&gt;D14, "Aangenomen", "Afgewezen"))</f>
        <v>Aangenomen</v>
      </c>
      <c r="E18" s="276" t="str">
        <f t="shared" si="8"/>
        <v>Aangenomen</v>
      </c>
      <c r="F18" s="276" t="str">
        <f t="shared" si="8"/>
        <v>Aangenomen</v>
      </c>
      <c r="G18" s="276" t="str">
        <f t="shared" si="8"/>
        <v>Aangenomen</v>
      </c>
      <c r="H18" s="277" t="str">
        <f t="shared" si="8"/>
        <v>Aangenomen</v>
      </c>
      <c r="I18" s="278" t="str">
        <f t="shared" si="8"/>
        <v>Ongeldig</v>
      </c>
      <c r="J18" s="277" t="str">
        <f t="shared" si="8"/>
        <v>Ongeldig</v>
      </c>
      <c r="K18" s="278" t="str">
        <f t="shared" si="8"/>
        <v>Aangenomen</v>
      </c>
      <c r="L18" s="276" t="str">
        <f t="shared" si="8"/>
        <v>Aangenomen</v>
      </c>
      <c r="M18" s="276" t="str">
        <f t="shared" si="8"/>
        <v>Aangenomen</v>
      </c>
      <c r="N18" s="276" t="str">
        <f t="shared" si="8"/>
        <v>Aangenomen</v>
      </c>
      <c r="O18" s="276" t="str">
        <f t="shared" si="8"/>
        <v>Aangenomen</v>
      </c>
      <c r="P18" s="277" t="str">
        <f t="shared" si="8"/>
        <v>Aangenomen</v>
      </c>
      <c r="Q18" s="278" t="str">
        <f t="shared" si="8"/>
        <v>Ongeldig</v>
      </c>
    </row>
    <row r="19" ht="18.75" customHeight="1">
      <c r="A19" s="44"/>
      <c r="B19" s="224" t="s">
        <v>124</v>
      </c>
      <c r="C19" s="44"/>
      <c r="D19" s="279">
        <f t="shared" ref="D19:Q19" si="9">D13+D14+D15+COUNTIF(D5:D11,"Ongeldig")</f>
        <v>4</v>
      </c>
      <c r="E19" s="280">
        <f t="shared" si="9"/>
        <v>4</v>
      </c>
      <c r="F19" s="280">
        <f t="shared" si="9"/>
        <v>4</v>
      </c>
      <c r="G19" s="280">
        <f t="shared" si="9"/>
        <v>4</v>
      </c>
      <c r="H19" s="281">
        <f t="shared" si="9"/>
        <v>4</v>
      </c>
      <c r="I19" s="280">
        <f t="shared" si="9"/>
        <v>2</v>
      </c>
      <c r="J19" s="281">
        <f t="shared" si="9"/>
        <v>2</v>
      </c>
      <c r="K19" s="279">
        <f t="shared" si="9"/>
        <v>4</v>
      </c>
      <c r="L19" s="280">
        <f t="shared" si="9"/>
        <v>4</v>
      </c>
      <c r="M19" s="280">
        <f t="shared" si="9"/>
        <v>3</v>
      </c>
      <c r="N19" s="280">
        <f t="shared" si="9"/>
        <v>4</v>
      </c>
      <c r="O19" s="280">
        <f t="shared" si="9"/>
        <v>4</v>
      </c>
      <c r="P19" s="281">
        <f t="shared" si="9"/>
        <v>4</v>
      </c>
      <c r="Q19" s="281">
        <f t="shared" si="9"/>
        <v>0</v>
      </c>
    </row>
    <row r="20" ht="18.75" customHeight="1">
      <c r="A20" s="228"/>
      <c r="B20" s="229" t="s">
        <v>125</v>
      </c>
      <c r="C20" s="228"/>
      <c r="D20" s="282">
        <f t="shared" ref="D20:Q20" si="10">IFERROR(D19/D17,"")</f>
        <v>1</v>
      </c>
      <c r="E20" s="282">
        <f t="shared" si="10"/>
        <v>1</v>
      </c>
      <c r="F20" s="282">
        <f t="shared" si="10"/>
        <v>1</v>
      </c>
      <c r="G20" s="282">
        <f t="shared" si="10"/>
        <v>1</v>
      </c>
      <c r="H20" s="283">
        <f t="shared" si="10"/>
        <v>1</v>
      </c>
      <c r="I20" s="282">
        <f t="shared" si="10"/>
        <v>0.5</v>
      </c>
      <c r="J20" s="283">
        <f t="shared" si="10"/>
        <v>0.5</v>
      </c>
      <c r="K20" s="282">
        <f t="shared" si="10"/>
        <v>1</v>
      </c>
      <c r="L20" s="282">
        <f t="shared" si="10"/>
        <v>1</v>
      </c>
      <c r="M20" s="282">
        <f t="shared" si="10"/>
        <v>0.75</v>
      </c>
      <c r="N20" s="282">
        <f t="shared" si="10"/>
        <v>1</v>
      </c>
      <c r="O20" s="282">
        <f t="shared" si="10"/>
        <v>1</v>
      </c>
      <c r="P20" s="283">
        <f t="shared" si="10"/>
        <v>1</v>
      </c>
      <c r="Q20" s="283">
        <f t="shared" si="10"/>
        <v>0</v>
      </c>
    </row>
  </sheetData>
  <mergeCells count="17">
    <mergeCell ref="A2:C2"/>
    <mergeCell ref="D2:Q3"/>
    <mergeCell ref="A3:C4"/>
    <mergeCell ref="D4:H4"/>
    <mergeCell ref="I4:J4"/>
    <mergeCell ref="K4:P4"/>
    <mergeCell ref="A7:A8"/>
    <mergeCell ref="B18:C18"/>
    <mergeCell ref="B19:C19"/>
    <mergeCell ref="A10:A11"/>
    <mergeCell ref="A13:A20"/>
    <mergeCell ref="B13:C13"/>
    <mergeCell ref="B14:C14"/>
    <mergeCell ref="B15:C15"/>
    <mergeCell ref="B16:C16"/>
    <mergeCell ref="B17:C17"/>
    <mergeCell ref="B20:C20"/>
  </mergeCells>
  <conditionalFormatting sqref="A3">
    <cfRule type="containsText" dxfId="0" priority="1" operator="containsText" text="voor">
      <formula>NOT(ISERROR(SEARCH(("voor"),(A3))))</formula>
    </cfRule>
  </conditionalFormatting>
  <conditionalFormatting sqref="A3">
    <cfRule type="containsText" dxfId="1" priority="2" operator="containsText" text="tegen">
      <formula>NOT(ISERROR(SEARCH(("tegen"),(A3))))</formula>
    </cfRule>
  </conditionalFormatting>
  <conditionalFormatting sqref="D7:Q11 C11">
    <cfRule type="containsText" dxfId="2" priority="3" operator="containsText" text="SO">
      <formula>NOT(ISERROR(SEARCH(("SO"),(D7))))</formula>
    </cfRule>
  </conditionalFormatting>
  <conditionalFormatting sqref="A3 D7:Q11 C11">
    <cfRule type="containsText" dxfId="3" priority="4" operator="containsText" text="tegen">
      <formula>NOT(ISERROR(SEARCH(("tegen"),(A3))))</formula>
    </cfRule>
  </conditionalFormatting>
  <conditionalFormatting sqref="D7:Q11 C11">
    <cfRule type="containsText" dxfId="4" priority="5" operator="containsText" text="voor">
      <formula>NOT(ISERROR(SEARCH(("voor"),(D7))))</formula>
    </cfRule>
  </conditionalFormatting>
  <conditionalFormatting sqref="D7:Q11 C11">
    <cfRule type="cellIs" dxfId="5" priority="6" operator="equal">
      <formula>"NG"</formula>
    </cfRule>
  </conditionalFormatting>
  <conditionalFormatting sqref="D7:Q11 C11">
    <cfRule type="containsText" dxfId="6" priority="7" operator="containsText" text="NVT">
      <formula>NOT(ISERROR(SEARCH(("NVT"),(D7))))</formula>
    </cfRule>
  </conditionalFormatting>
  <conditionalFormatting sqref="A18:Q18">
    <cfRule type="containsText" dxfId="4" priority="8" operator="containsText" text="Aangenomen">
      <formula>NOT(ISERROR(SEARCH(("Aangenomen"),(A18))))</formula>
    </cfRule>
  </conditionalFormatting>
  <conditionalFormatting sqref="A18:Q18">
    <cfRule type="containsText" dxfId="7" priority="9" operator="containsText" text="Afgewezen">
      <formula>NOT(ISERROR(SEARCH(("Afgewezen"),(A18))))</formula>
    </cfRule>
  </conditionalFormatting>
  <conditionalFormatting sqref="A18:Q18">
    <cfRule type="containsText" dxfId="8" priority="10" operator="containsText" text="ongeldig">
      <formula>NOT(ISERROR(SEARCH(("ongeldig"),(A18))))</formula>
    </cfRule>
  </conditionalFormatting>
  <drawing r:id="rId1"/>
</worksheet>
</file>

<file path=xl/worksheets/sheet3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CC4125"/>
    <outlinePr summaryBelow="0" summaryRight="0"/>
  </sheetPr>
  <sheetViews>
    <sheetView workbookViewId="0">
      <pane xSplit="3.0" topLeftCell="D1" activePane="topRight" state="frozen"/>
      <selection activeCell="E2" sqref="E2" pane="topRight"/>
    </sheetView>
  </sheetViews>
  <sheetFormatPr customHeight="1" defaultColWidth="14.43" defaultRowHeight="15.75"/>
  <cols>
    <col customWidth="1" min="1" max="1" width="10.86"/>
    <col customWidth="1" min="2" max="2" width="11.0"/>
    <col customWidth="1" min="3" max="3" width="21.86"/>
  </cols>
  <sheetData>
    <row r="1" ht="18.75" customHeight="1">
      <c r="A1" s="2621" t="s">
        <v>1817</v>
      </c>
      <c r="B1" s="1438"/>
      <c r="C1" s="1438"/>
      <c r="D1" s="1438"/>
      <c r="E1" s="1438"/>
      <c r="F1" s="1438"/>
      <c r="G1" s="1438"/>
      <c r="H1" s="1438"/>
      <c r="I1" s="1438"/>
      <c r="J1" s="1438"/>
      <c r="K1" s="1438"/>
      <c r="L1" s="1438"/>
      <c r="M1" s="1438"/>
      <c r="N1" s="1438"/>
      <c r="O1" s="1438"/>
      <c r="P1" s="1438"/>
      <c r="Q1" s="1438"/>
      <c r="R1" s="1438"/>
      <c r="S1" s="1438"/>
      <c r="T1" s="1438"/>
      <c r="U1" s="1438"/>
      <c r="V1" s="1438"/>
      <c r="W1" s="1438"/>
      <c r="X1" s="1438"/>
      <c r="Y1" s="1438"/>
    </row>
    <row r="2" ht="18.75" customHeight="1">
      <c r="A2" s="2622"/>
      <c r="B2" s="2357"/>
      <c r="C2" s="2358"/>
      <c r="D2" s="2756" t="s">
        <v>1818</v>
      </c>
      <c r="E2" s="16"/>
      <c r="F2" s="16"/>
      <c r="G2" s="16"/>
      <c r="H2" s="16"/>
      <c r="I2" s="16"/>
      <c r="J2" s="16"/>
      <c r="K2" s="17"/>
      <c r="L2" s="1438"/>
      <c r="M2" s="1438"/>
      <c r="N2" s="1438"/>
      <c r="O2" s="1438"/>
      <c r="P2" s="1438"/>
      <c r="Q2" s="1438"/>
      <c r="R2" s="1438"/>
      <c r="S2" s="1438"/>
      <c r="T2" s="1438"/>
      <c r="U2" s="1438"/>
      <c r="V2" s="1438"/>
      <c r="W2" s="1438"/>
      <c r="X2" s="1438"/>
      <c r="Y2" s="1438"/>
    </row>
    <row r="3" ht="18.75" customHeight="1">
      <c r="A3" s="1438"/>
      <c r="B3" s="1438"/>
      <c r="C3" s="1438"/>
      <c r="D3" s="2624"/>
      <c r="E3" s="2624"/>
      <c r="F3" s="2624"/>
      <c r="G3" s="2624"/>
      <c r="H3" s="1438"/>
      <c r="I3" s="1438"/>
      <c r="J3" s="1438"/>
      <c r="K3" s="1438"/>
      <c r="L3" s="1438"/>
      <c r="M3" s="1438"/>
      <c r="N3" s="1438"/>
      <c r="O3" s="1438"/>
      <c r="P3" s="1438"/>
      <c r="Q3" s="1438"/>
      <c r="R3" s="1438"/>
      <c r="S3" s="1438"/>
      <c r="T3" s="1438"/>
      <c r="U3" s="1438"/>
      <c r="V3" s="1438"/>
      <c r="W3" s="1438"/>
      <c r="X3" s="1438"/>
      <c r="Y3" s="1438"/>
    </row>
    <row r="4" ht="18.75" customHeight="1">
      <c r="A4" s="2622" t="s">
        <v>1030</v>
      </c>
      <c r="B4" s="2357"/>
      <c r="C4" s="2358"/>
      <c r="D4" s="2757" t="s">
        <v>127</v>
      </c>
      <c r="E4" s="124"/>
      <c r="F4" s="124"/>
      <c r="G4" s="124"/>
      <c r="H4" s="20"/>
      <c r="I4" s="1438"/>
      <c r="J4" s="1438"/>
      <c r="K4" s="1438"/>
      <c r="L4" s="1438"/>
      <c r="M4" s="1438"/>
      <c r="N4" s="1438"/>
      <c r="O4" s="1438"/>
      <c r="P4" s="1438"/>
      <c r="Q4" s="1438"/>
      <c r="R4" s="1438"/>
      <c r="S4" s="1438"/>
      <c r="T4" s="1438"/>
      <c r="U4" s="1438"/>
      <c r="V4" s="1438"/>
      <c r="W4" s="1438"/>
      <c r="X4" s="1438"/>
      <c r="Y4" s="1438"/>
    </row>
    <row r="5" ht="18.75" customHeight="1">
      <c r="A5" s="2675" t="s">
        <v>1947</v>
      </c>
      <c r="C5" s="135"/>
      <c r="D5" s="43"/>
      <c r="H5" s="44"/>
      <c r="I5" s="1438"/>
      <c r="J5" s="1438"/>
      <c r="K5" s="1438"/>
      <c r="L5" s="1438"/>
      <c r="M5" s="1438"/>
      <c r="N5" s="1438"/>
      <c r="O5" s="1438"/>
      <c r="P5" s="1438"/>
      <c r="Q5" s="1438"/>
      <c r="R5" s="1438"/>
      <c r="S5" s="1438"/>
      <c r="T5" s="1438"/>
      <c r="U5" s="1438"/>
      <c r="V5" s="1438"/>
      <c r="W5" s="1438"/>
      <c r="X5" s="1438"/>
      <c r="Y5" s="1438"/>
    </row>
    <row r="6" ht="18.75" customHeight="1">
      <c r="C6" s="135"/>
      <c r="D6" s="2363"/>
      <c r="E6" s="1396"/>
      <c r="F6" s="1396"/>
      <c r="G6" s="1396"/>
      <c r="H6" s="111"/>
      <c r="I6" s="1438"/>
      <c r="J6" s="1438"/>
      <c r="K6" s="1438"/>
      <c r="L6" s="1438"/>
      <c r="M6" s="1438"/>
      <c r="N6" s="1438"/>
      <c r="O6" s="1438"/>
      <c r="P6" s="1438"/>
      <c r="Q6" s="1438"/>
      <c r="R6" s="1438"/>
      <c r="S6" s="1438"/>
      <c r="T6" s="1438"/>
      <c r="U6" s="1438"/>
      <c r="V6" s="1438"/>
      <c r="W6" s="1438"/>
      <c r="X6" s="1438"/>
      <c r="Y6" s="1438"/>
    </row>
    <row r="7" ht="18.75" customHeight="1">
      <c r="A7" s="2626" t="s">
        <v>86</v>
      </c>
      <c r="B7" s="2627" t="s">
        <v>87</v>
      </c>
      <c r="C7" s="2628" t="s">
        <v>88</v>
      </c>
      <c r="D7" s="2758" t="str">
        <f>HYPERLINK("https://www.reddit.com/r/RMTK/comments/avu0ir/","W0011")</f>
        <v>W0011</v>
      </c>
      <c r="E7" s="2758" t="str">
        <f>HYPERLINK("https://www.reddit.com/r/RMTK/comments/axb6a2/","W0012")</f>
        <v>W0012</v>
      </c>
      <c r="F7" s="2758" t="str">
        <f>HYPERLINK("https://www.reddit.com/r/RMTK/comments/axyq3e/","W0013")</f>
        <v>W0013</v>
      </c>
      <c r="G7" s="2758" t="str">
        <f>HYPERLINK("https://www.reddit.com/r/RMTK/comments/aygvku/","W0015")</f>
        <v>W0015</v>
      </c>
      <c r="H7" s="2759" t="str">
        <f>HYPERLINK("https://www.reddit.com/r/RMTK/comments/bdxiws","W0017")</f>
        <v>W0017</v>
      </c>
      <c r="I7" s="1438"/>
      <c r="J7" s="1438"/>
      <c r="K7" s="1438"/>
      <c r="L7" s="1438"/>
      <c r="M7" s="1438"/>
      <c r="N7" s="1438"/>
      <c r="O7" s="1438"/>
      <c r="P7" s="1438"/>
      <c r="Q7" s="1438"/>
      <c r="R7" s="1438"/>
      <c r="S7" s="1438"/>
      <c r="T7" s="1438"/>
      <c r="U7" s="1438"/>
      <c r="V7" s="1438"/>
      <c r="W7" s="1438"/>
      <c r="X7" s="1438"/>
      <c r="Y7" s="1438"/>
    </row>
    <row r="8" ht="6.0" customHeight="1">
      <c r="A8" s="2513"/>
      <c r="B8" s="2514"/>
      <c r="C8" s="2514"/>
      <c r="D8" s="2513"/>
      <c r="E8" s="2513"/>
      <c r="F8" s="2513"/>
      <c r="G8" s="2513"/>
      <c r="H8" s="2760"/>
      <c r="I8" s="1438"/>
      <c r="J8" s="1438"/>
      <c r="K8" s="1438"/>
      <c r="L8" s="1438"/>
      <c r="M8" s="1438"/>
      <c r="N8" s="1438"/>
      <c r="O8" s="1438"/>
      <c r="P8" s="1438"/>
      <c r="Q8" s="1438"/>
      <c r="R8" s="1438"/>
      <c r="S8" s="1438"/>
      <c r="T8" s="1438"/>
      <c r="U8" s="1438"/>
      <c r="V8" s="1438"/>
      <c r="W8" s="1438"/>
      <c r="X8" s="1438"/>
      <c r="Y8" s="1438"/>
    </row>
    <row r="9" ht="18.75" customHeight="1">
      <c r="A9" s="2761" t="s">
        <v>132</v>
      </c>
      <c r="B9" s="2762" t="s">
        <v>214</v>
      </c>
      <c r="C9" s="2763" t="s">
        <v>1376</v>
      </c>
      <c r="D9" s="2635" t="s">
        <v>91</v>
      </c>
      <c r="E9" s="2764" t="s">
        <v>91</v>
      </c>
      <c r="F9" s="2764" t="s">
        <v>91</v>
      </c>
      <c r="G9" s="2635" t="s">
        <v>91</v>
      </c>
      <c r="H9" s="2765" t="s">
        <v>91</v>
      </c>
      <c r="I9" s="1438"/>
      <c r="J9" s="1438"/>
      <c r="K9" s="1438"/>
      <c r="L9" s="1438"/>
      <c r="M9" s="1438"/>
      <c r="N9" s="1438"/>
      <c r="O9" s="1438"/>
      <c r="P9" s="1438"/>
      <c r="Q9" s="1438"/>
      <c r="R9" s="1438"/>
      <c r="S9" s="1438"/>
      <c r="T9" s="1438"/>
      <c r="U9" s="1438"/>
      <c r="V9" s="1438"/>
      <c r="W9" s="1438"/>
      <c r="X9" s="1438"/>
      <c r="Y9" s="1438"/>
    </row>
    <row r="10" ht="18.75" customHeight="1">
      <c r="A10" s="335"/>
      <c r="B10" s="2766" t="s">
        <v>31</v>
      </c>
      <c r="C10" s="2767" t="s">
        <v>32</v>
      </c>
      <c r="D10" s="2523" t="s">
        <v>91</v>
      </c>
      <c r="E10" s="2764" t="s">
        <v>91</v>
      </c>
      <c r="F10" s="2764" t="s">
        <v>91</v>
      </c>
      <c r="G10" s="2635" t="s">
        <v>91</v>
      </c>
      <c r="H10" s="2765" t="s">
        <v>91</v>
      </c>
      <c r="I10" s="1438"/>
      <c r="J10" s="1438"/>
      <c r="K10" s="1438"/>
      <c r="L10" s="1438"/>
      <c r="M10" s="1438"/>
      <c r="N10" s="1438"/>
      <c r="O10" s="1438"/>
      <c r="P10" s="1438"/>
      <c r="Q10" s="1438"/>
      <c r="R10" s="1438"/>
      <c r="S10" s="1438"/>
      <c r="T10" s="1438"/>
      <c r="U10" s="1438"/>
      <c r="V10" s="1438"/>
      <c r="W10" s="1438"/>
      <c r="X10" s="1438"/>
      <c r="Y10" s="1438"/>
    </row>
    <row r="11" ht="6.75" customHeight="1">
      <c r="A11" s="2768"/>
      <c r="B11" s="2769"/>
      <c r="C11" s="2740"/>
      <c r="D11" s="2645" t="str">
        <f t="shared" ref="D11:H11" si="1">LINKURL(D7)</f>
        <v>https://www.reddit.com/r/RMTK/comments/avu0ir/</v>
      </c>
      <c r="E11" s="2770" t="str">
        <f t="shared" si="1"/>
        <v>https://www.reddit.com/r/RMTK/comments/axb6a2/</v>
      </c>
      <c r="F11" s="2770" t="str">
        <f t="shared" si="1"/>
        <v>https://www.reddit.com/r/RMTK/comments/axyq3e/</v>
      </c>
      <c r="G11" s="2645" t="str">
        <f t="shared" si="1"/>
        <v>https://www.reddit.com/r/RMTK/comments/aygvku/</v>
      </c>
      <c r="H11" s="2771" t="str">
        <f t="shared" si="1"/>
        <v>https://www.reddit.com/r/RMTK/comments/bdxiws</v>
      </c>
      <c r="I11" s="2772" t="s">
        <v>1269</v>
      </c>
      <c r="J11" s="1438"/>
      <c r="K11" s="1438"/>
      <c r="L11" s="1438"/>
      <c r="M11" s="1438"/>
      <c r="N11" s="1438"/>
      <c r="O11" s="1438"/>
      <c r="P11" s="1438"/>
      <c r="Q11" s="1438"/>
      <c r="R11" s="1438"/>
      <c r="S11" s="1438"/>
      <c r="T11" s="1438"/>
      <c r="U11" s="1438"/>
      <c r="V11" s="1438"/>
      <c r="W11" s="1438"/>
      <c r="X11" s="1438"/>
      <c r="Y11" s="1438"/>
    </row>
    <row r="12" ht="18.75" customHeight="1">
      <c r="A12" s="2773" t="s">
        <v>1736</v>
      </c>
      <c r="B12" s="2774" t="s">
        <v>243</v>
      </c>
      <c r="C12" s="2775" t="s">
        <v>1166</v>
      </c>
      <c r="D12" s="2523" t="s">
        <v>91</v>
      </c>
      <c r="E12" s="2764" t="s">
        <v>91</v>
      </c>
      <c r="F12" s="2764" t="s">
        <v>91</v>
      </c>
      <c r="G12" s="2635" t="s">
        <v>91</v>
      </c>
      <c r="H12" s="2765" t="s">
        <v>91</v>
      </c>
      <c r="I12" s="1438"/>
      <c r="J12" s="1438"/>
      <c r="K12" s="1438"/>
      <c r="L12" s="1438"/>
      <c r="M12" s="1438"/>
      <c r="N12" s="1438"/>
      <c r="O12" s="1438"/>
      <c r="P12" s="1438"/>
      <c r="Q12" s="1438"/>
      <c r="R12" s="1438"/>
      <c r="S12" s="1438"/>
      <c r="T12" s="1438"/>
      <c r="U12" s="1438"/>
      <c r="V12" s="1438"/>
      <c r="W12" s="1438"/>
      <c r="X12" s="1438"/>
      <c r="Y12" s="1438"/>
    </row>
    <row r="13" ht="18.75" customHeight="1">
      <c r="B13" s="2776" t="s">
        <v>255</v>
      </c>
      <c r="C13" s="2777" t="s">
        <v>235</v>
      </c>
      <c r="D13" s="2523" t="s">
        <v>91</v>
      </c>
      <c r="E13" s="2764" t="s">
        <v>91</v>
      </c>
      <c r="F13" s="2764" t="s">
        <v>91</v>
      </c>
      <c r="G13" s="2635" t="s">
        <v>91</v>
      </c>
      <c r="H13" s="2765" t="s">
        <v>91</v>
      </c>
      <c r="I13" s="1438"/>
      <c r="J13" s="1438"/>
      <c r="K13" s="1438"/>
      <c r="L13" s="1438"/>
      <c r="M13" s="1438"/>
      <c r="N13" s="1438"/>
      <c r="O13" s="1438"/>
      <c r="P13" s="1438"/>
      <c r="Q13" s="1438"/>
      <c r="R13" s="1438"/>
      <c r="S13" s="1438"/>
      <c r="T13" s="1438"/>
      <c r="U13" s="1438"/>
      <c r="V13" s="1438"/>
      <c r="W13" s="1438"/>
      <c r="X13" s="1438"/>
      <c r="Y13" s="1438"/>
    </row>
    <row r="14" ht="18.75" customHeight="1">
      <c r="B14" s="2778" t="s">
        <v>1303</v>
      </c>
      <c r="C14" s="2779" t="s">
        <v>1950</v>
      </c>
      <c r="D14" s="2523" t="s">
        <v>91</v>
      </c>
      <c r="E14" s="2764" t="s">
        <v>93</v>
      </c>
      <c r="F14" s="2764" t="s">
        <v>93</v>
      </c>
      <c r="G14" s="2635" t="s">
        <v>93</v>
      </c>
      <c r="H14" s="2765" t="s">
        <v>93</v>
      </c>
      <c r="I14" s="1438"/>
      <c r="J14" s="1438"/>
      <c r="K14" s="1438"/>
      <c r="L14" s="1438"/>
      <c r="M14" s="1438"/>
      <c r="N14" s="1438"/>
      <c r="O14" s="1438"/>
      <c r="P14" s="1438"/>
      <c r="Q14" s="1438"/>
      <c r="R14" s="1438"/>
      <c r="S14" s="1438"/>
      <c r="T14" s="1438"/>
      <c r="U14" s="1438"/>
      <c r="V14" s="1438"/>
      <c r="W14" s="1438"/>
      <c r="X14" s="1438"/>
      <c r="Y14" s="1438"/>
    </row>
    <row r="15" ht="12.0" customHeight="1">
      <c r="A15" s="2768"/>
      <c r="B15" s="2780"/>
      <c r="C15" s="2781"/>
      <c r="D15" s="2253" t="str">
        <f t="shared" ref="D15:H15" si="2">CONCATENATE("{""status"": ", IF(GT(D16, D17), """aangenomen""", """verworpen"""), ", ""title"": """, D7, """, ""url"": """,D11  , """, ""voor"":", D16,", ""tegen"": ", D17, ", ""onthouden"":", D18, "}")</f>
        <v>{"status": "aangenomen", "title": "W0011", "url": "https://www.reddit.com/r/RMTK/comments/avu0ir/", "voor":5, "tegen": 0, "onthouden":0}</v>
      </c>
      <c r="E15" s="2253" t="str">
        <f t="shared" si="2"/>
        <v>{"status": "aangenomen", "title": "W0012", "url": "https://www.reddit.com/r/RMTK/comments/axb6a2/", "voor":4, "tegen": 0, "onthouden":0}</v>
      </c>
      <c r="F15" s="2253" t="str">
        <f t="shared" si="2"/>
        <v>{"status": "aangenomen", "title": "W0013", "url": "https://www.reddit.com/r/RMTK/comments/axyq3e/", "voor":4, "tegen": 0, "onthouden":0}</v>
      </c>
      <c r="G15" s="2253" t="str">
        <f t="shared" si="2"/>
        <v>{"status": "aangenomen", "title": "W0015", "url": "https://www.reddit.com/r/RMTK/comments/aygvku/", "voor":4, "tegen": 0, "onthouden":0}</v>
      </c>
      <c r="H15" s="2782" t="str">
        <f t="shared" si="2"/>
        <v>{"status": "aangenomen", "title": "W0017", "url": "https://www.reddit.com/r/RMTK/comments/bdxiws", "voor":4, "tegen": 0, "onthouden":0}</v>
      </c>
      <c r="I15" s="2772" t="s">
        <v>1269</v>
      </c>
      <c r="J15" s="1438"/>
      <c r="K15" s="1438"/>
      <c r="L15" s="1438"/>
      <c r="M15" s="1438"/>
      <c r="N15" s="1438"/>
      <c r="O15" s="1438"/>
      <c r="P15" s="1438"/>
      <c r="Q15" s="1438"/>
      <c r="R15" s="1438"/>
      <c r="S15" s="1438"/>
      <c r="T15" s="1438"/>
      <c r="U15" s="1438"/>
      <c r="V15" s="1438"/>
      <c r="W15" s="1438"/>
      <c r="X15" s="1438"/>
      <c r="Y15" s="1438"/>
    </row>
    <row r="16" ht="18.75" customHeight="1">
      <c r="A16" s="2660" t="s">
        <v>119</v>
      </c>
      <c r="B16" s="2661" t="s">
        <v>91</v>
      </c>
      <c r="D16" s="2662">
        <f t="shared" ref="D16:H16" si="3">COUNTIF(D6:D14,"Voor")</f>
        <v>5</v>
      </c>
      <c r="E16" s="2783">
        <f t="shared" si="3"/>
        <v>4</v>
      </c>
      <c r="F16" s="2783">
        <f t="shared" si="3"/>
        <v>4</v>
      </c>
      <c r="G16" s="2783">
        <f t="shared" si="3"/>
        <v>4</v>
      </c>
      <c r="H16" s="2783">
        <f t="shared" si="3"/>
        <v>4</v>
      </c>
      <c r="I16" s="1438"/>
      <c r="J16" s="1438"/>
      <c r="K16" s="1438"/>
      <c r="L16" s="1438"/>
      <c r="M16" s="1438"/>
      <c r="N16" s="1438"/>
      <c r="O16" s="1438"/>
      <c r="P16" s="1438"/>
      <c r="Q16" s="1438"/>
      <c r="R16" s="1438"/>
      <c r="S16" s="1438"/>
      <c r="T16" s="1438"/>
      <c r="U16" s="1438"/>
      <c r="V16" s="1438"/>
      <c r="W16" s="1438"/>
      <c r="X16" s="1438"/>
      <c r="Y16" s="1438"/>
    </row>
    <row r="17" ht="18.75" customHeight="1">
      <c r="B17" s="2663" t="s">
        <v>92</v>
      </c>
      <c r="D17" s="2664">
        <f t="shared" ref="D17:H17" si="4">COUNTIF(D6:D14,"Tegen")</f>
        <v>0</v>
      </c>
      <c r="E17" s="2784">
        <f t="shared" si="4"/>
        <v>0</v>
      </c>
      <c r="F17" s="2784">
        <f t="shared" si="4"/>
        <v>0</v>
      </c>
      <c r="G17" s="2784">
        <f t="shared" si="4"/>
        <v>0</v>
      </c>
      <c r="H17" s="2784">
        <f t="shared" si="4"/>
        <v>0</v>
      </c>
      <c r="I17" s="1438"/>
      <c r="J17" s="1438"/>
      <c r="K17" s="1438"/>
      <c r="L17" s="1438"/>
      <c r="M17" s="1438"/>
      <c r="N17" s="1438"/>
      <c r="O17" s="1438"/>
      <c r="P17" s="1438"/>
      <c r="Q17" s="1438"/>
      <c r="R17" s="1438"/>
      <c r="S17" s="1438"/>
      <c r="T17" s="1438"/>
      <c r="U17" s="1438"/>
      <c r="V17" s="1438"/>
      <c r="W17" s="1438"/>
      <c r="X17" s="1438"/>
      <c r="Y17" s="1438"/>
    </row>
    <row r="18" ht="18.75" customHeight="1">
      <c r="B18" s="2785" t="s">
        <v>120</v>
      </c>
      <c r="D18" s="2666">
        <f t="shared" ref="D18:H18" si="5">COUNTIF(D6:D14,"SO")</f>
        <v>0</v>
      </c>
      <c r="E18" s="2786">
        <f t="shared" si="5"/>
        <v>0</v>
      </c>
      <c r="F18" s="2786">
        <f t="shared" si="5"/>
        <v>0</v>
      </c>
      <c r="G18" s="2786">
        <f t="shared" si="5"/>
        <v>0</v>
      </c>
      <c r="H18" s="2786">
        <f t="shared" si="5"/>
        <v>0</v>
      </c>
      <c r="I18" s="1438"/>
      <c r="J18" s="1438"/>
      <c r="K18" s="1438"/>
      <c r="L18" s="1438"/>
      <c r="M18" s="1438"/>
      <c r="N18" s="1438"/>
      <c r="O18" s="1438"/>
      <c r="P18" s="1438"/>
      <c r="Q18" s="1438"/>
      <c r="R18" s="1438"/>
      <c r="S18" s="1438"/>
      <c r="T18" s="1438"/>
      <c r="U18" s="1438"/>
      <c r="V18" s="1438"/>
      <c r="W18" s="1438"/>
      <c r="X18" s="1438"/>
      <c r="Y18" s="1438"/>
    </row>
    <row r="19" ht="18.75" customHeight="1">
      <c r="B19" s="2787" t="s">
        <v>121</v>
      </c>
      <c r="D19" s="2668">
        <f t="shared" ref="D19:H19" si="6">COUNTIF(D6:D14,"NG")</f>
        <v>0</v>
      </c>
      <c r="E19" s="2788">
        <f t="shared" si="6"/>
        <v>1</v>
      </c>
      <c r="F19" s="2788">
        <f t="shared" si="6"/>
        <v>1</v>
      </c>
      <c r="G19" s="2788">
        <f t="shared" si="6"/>
        <v>1</v>
      </c>
      <c r="H19" s="2788">
        <f t="shared" si="6"/>
        <v>1</v>
      </c>
      <c r="I19" s="1438"/>
      <c r="J19" s="1438"/>
      <c r="K19" s="1438"/>
      <c r="L19" s="1438"/>
      <c r="M19" s="1438"/>
      <c r="N19" s="1438"/>
      <c r="O19" s="1438"/>
      <c r="P19" s="1438"/>
      <c r="Q19" s="1438"/>
      <c r="R19" s="1438"/>
      <c r="S19" s="1438"/>
      <c r="T19" s="1438"/>
      <c r="U19" s="1438"/>
      <c r="V19" s="1438"/>
      <c r="W19" s="1438"/>
      <c r="X19" s="1438"/>
      <c r="Y19" s="1438"/>
    </row>
    <row r="20" ht="18.75" customHeight="1">
      <c r="B20" s="2669" t="s">
        <v>122</v>
      </c>
      <c r="D20" s="2746">
        <f t="shared" ref="D20:H20" si="7">SUM(D16:D19)</f>
        <v>5</v>
      </c>
      <c r="E20" s="2670">
        <f t="shared" si="7"/>
        <v>5</v>
      </c>
      <c r="F20" s="2670">
        <f t="shared" si="7"/>
        <v>5</v>
      </c>
      <c r="G20" s="2670">
        <f t="shared" si="7"/>
        <v>5</v>
      </c>
      <c r="H20" s="2670">
        <f t="shared" si="7"/>
        <v>5</v>
      </c>
      <c r="I20" s="1438"/>
      <c r="J20" s="1438"/>
      <c r="K20" s="1438"/>
      <c r="L20" s="1438"/>
      <c r="M20" s="1438"/>
      <c r="N20" s="1438"/>
      <c r="O20" s="1438"/>
      <c r="P20" s="1438"/>
      <c r="Q20" s="1438"/>
      <c r="R20" s="1438"/>
      <c r="S20" s="1438"/>
      <c r="T20" s="1438"/>
      <c r="U20" s="1438"/>
      <c r="V20" s="1438"/>
      <c r="W20" s="1438"/>
      <c r="X20" s="1438"/>
      <c r="Y20" s="1438"/>
    </row>
    <row r="21" ht="18.75" customHeight="1">
      <c r="B21" s="2671" t="s">
        <v>124</v>
      </c>
      <c r="D21" s="2747">
        <f t="shared" ref="D21:H21" si="8">D16+D17+D18</f>
        <v>5</v>
      </c>
      <c r="E21" s="2672">
        <f t="shared" si="8"/>
        <v>4</v>
      </c>
      <c r="F21" s="2672">
        <f t="shared" si="8"/>
        <v>4</v>
      </c>
      <c r="G21" s="2672">
        <f t="shared" si="8"/>
        <v>4</v>
      </c>
      <c r="H21" s="2672">
        <f t="shared" si="8"/>
        <v>4</v>
      </c>
      <c r="I21" s="1438"/>
      <c r="J21" s="1438"/>
      <c r="K21" s="1438"/>
      <c r="L21" s="1438"/>
      <c r="M21" s="1438"/>
      <c r="N21" s="1438"/>
      <c r="O21" s="1438"/>
      <c r="P21" s="1438"/>
      <c r="Q21" s="1438"/>
      <c r="R21" s="1438"/>
      <c r="S21" s="1438"/>
      <c r="T21" s="1438"/>
      <c r="U21" s="1438"/>
      <c r="V21" s="1438"/>
      <c r="W21" s="1438"/>
      <c r="X21" s="1438"/>
      <c r="Y21" s="1438"/>
    </row>
    <row r="22" ht="18.75" customHeight="1">
      <c r="B22" s="2673" t="s">
        <v>125</v>
      </c>
      <c r="C22" s="131"/>
      <c r="D22" s="2748">
        <f t="shared" ref="D22:H22" si="9">IFERROR(D21/D20,"")</f>
        <v>1</v>
      </c>
      <c r="E22" s="2674">
        <f t="shared" si="9"/>
        <v>0.8</v>
      </c>
      <c r="F22" s="2674">
        <f t="shared" si="9"/>
        <v>0.8</v>
      </c>
      <c r="G22" s="2674">
        <f t="shared" si="9"/>
        <v>0.8</v>
      </c>
      <c r="H22" s="2674">
        <f t="shared" si="9"/>
        <v>0.8</v>
      </c>
      <c r="I22" s="1438"/>
      <c r="J22" s="1438"/>
      <c r="K22" s="1438"/>
      <c r="L22" s="1438"/>
      <c r="M22" s="1438"/>
      <c r="N22" s="1438"/>
      <c r="O22" s="1438"/>
      <c r="P22" s="1438"/>
      <c r="Q22" s="1438"/>
      <c r="R22" s="1438"/>
      <c r="S22" s="1438"/>
      <c r="T22" s="1438"/>
      <c r="U22" s="1438"/>
      <c r="V22" s="1438"/>
      <c r="W22" s="1438"/>
      <c r="X22" s="1438"/>
      <c r="Y22" s="1438"/>
    </row>
    <row r="23" ht="18.75" customHeight="1">
      <c r="A23" s="2624"/>
      <c r="B23" s="2624"/>
      <c r="C23" s="2624"/>
      <c r="D23" s="1438"/>
      <c r="E23" s="1438"/>
      <c r="F23" s="1438"/>
      <c r="G23" s="1438"/>
      <c r="H23" s="1438"/>
      <c r="I23" s="1438"/>
      <c r="J23" s="1438"/>
      <c r="K23" s="1438"/>
      <c r="L23" s="1438"/>
      <c r="M23" s="1438"/>
      <c r="N23" s="1438"/>
      <c r="O23" s="1438"/>
      <c r="P23" s="1438"/>
      <c r="Q23" s="1438"/>
      <c r="R23" s="1438"/>
      <c r="S23" s="1438"/>
      <c r="T23" s="1438"/>
      <c r="U23" s="1438"/>
      <c r="V23" s="1438"/>
      <c r="W23" s="1438"/>
      <c r="X23" s="1438"/>
      <c r="Y23" s="1438"/>
    </row>
    <row r="24" ht="18.75" customHeight="1">
      <c r="A24" s="1438"/>
      <c r="B24" s="1438"/>
      <c r="C24" s="1438"/>
      <c r="D24" s="1438"/>
      <c r="E24" s="1438"/>
      <c r="F24" s="1438"/>
      <c r="G24" s="1438"/>
      <c r="H24" s="1438"/>
      <c r="I24" s="1438"/>
      <c r="J24" s="1438"/>
      <c r="K24" s="1438"/>
      <c r="L24" s="1438"/>
      <c r="M24" s="1438"/>
      <c r="N24" s="1438"/>
      <c r="O24" s="1438"/>
      <c r="P24" s="1438"/>
      <c r="Q24" s="1438"/>
      <c r="R24" s="1438"/>
      <c r="S24" s="1438"/>
      <c r="T24" s="1438"/>
      <c r="U24" s="1438"/>
      <c r="V24" s="1438"/>
      <c r="W24" s="1438"/>
      <c r="X24" s="1438"/>
      <c r="Y24" s="1438"/>
    </row>
  </sheetData>
  <mergeCells count="15">
    <mergeCell ref="A12:A14"/>
    <mergeCell ref="B16:C16"/>
    <mergeCell ref="B17:C17"/>
    <mergeCell ref="B18:C18"/>
    <mergeCell ref="B19:C19"/>
    <mergeCell ref="B20:C20"/>
    <mergeCell ref="B21:C21"/>
    <mergeCell ref="B22:C22"/>
    <mergeCell ref="A2:C2"/>
    <mergeCell ref="D2:K2"/>
    <mergeCell ref="A4:C4"/>
    <mergeCell ref="D4:H6"/>
    <mergeCell ref="A5:C6"/>
    <mergeCell ref="A9:A10"/>
    <mergeCell ref="A16:A22"/>
  </mergeCells>
  <conditionalFormatting sqref="D9:H10 D12:H14">
    <cfRule type="containsText" dxfId="4" priority="1" operator="containsText" text="voor">
      <formula>NOT(ISERROR(SEARCH(("voor"),(D9))))</formula>
    </cfRule>
  </conditionalFormatting>
  <conditionalFormatting sqref="D9:H14">
    <cfRule type="containsText" dxfId="2" priority="2" operator="containsText" text="SO">
      <formula>NOT(ISERROR(SEARCH(("SO"),(D9))))</formula>
    </cfRule>
  </conditionalFormatting>
  <conditionalFormatting sqref="D11:H11">
    <cfRule type="containsText" dxfId="36" priority="3" operator="containsText" text="voor">
      <formula>NOT(ISERROR(SEARCH(("voor"),(D11))))</formula>
    </cfRule>
  </conditionalFormatting>
  <conditionalFormatting sqref="D9:H14">
    <cfRule type="containsText" dxfId="5" priority="4" operator="containsText" text="NG">
      <formula>NOT(ISERROR(SEARCH(("NG"),(D9))))</formula>
    </cfRule>
  </conditionalFormatting>
  <conditionalFormatting sqref="D9:H14">
    <cfRule type="containsText" dxfId="6" priority="5" operator="containsText" text="NVT">
      <formula>NOT(ISERROR(SEARCH(("NVT"),(D9))))</formula>
    </cfRule>
  </conditionalFormatting>
  <conditionalFormatting sqref="A1:H3 I1:Y23 H7:H14 D9 E9:G10 E12:G14 H16:H24 A23:C23 D23:G24">
    <cfRule type="containsText" dxfId="27" priority="6" operator="containsText" text="SO">
      <formula>NOT(ISERROR(SEARCH(("SO"),(A1))))</formula>
    </cfRule>
  </conditionalFormatting>
  <conditionalFormatting sqref="A1:H3 I1:Y23 H7:H14 D9 E9:G10 E12:G14 H16:H24 A23:C23 D23:G24">
    <cfRule type="containsText" dxfId="28" priority="7" operator="containsText" text="N.v.t.">
      <formula>NOT(ISERROR(SEARCH(("N.v.t."),(A1))))</formula>
    </cfRule>
  </conditionalFormatting>
  <conditionalFormatting sqref="A1:H3 I1:Y23 H7:H14 D9 E9:G10 E12:G14 H16:H24 A23:C23 D23:G24">
    <cfRule type="containsText" dxfId="29" priority="8" operator="containsText" text="Voor">
      <formula>NOT(ISERROR(SEARCH(("Voor"),(A1))))</formula>
    </cfRule>
  </conditionalFormatting>
  <conditionalFormatting sqref="A1:H3 I1:Y23 H7:H14 D9 E9:G10 E12:G14 H16:H24 A23:C23 D23:G24">
    <cfRule type="containsText" dxfId="30" priority="9" operator="containsText" text="Tegen">
      <formula>NOT(ISERROR(SEARCH(("Tegen"),(A1))))</formula>
    </cfRule>
  </conditionalFormatting>
  <conditionalFormatting sqref="A1:H3 I1:Y23 H7:H14 D9 E9:G10 E12:G14 H16:H24 A23:C23 D23:G24">
    <cfRule type="containsText" dxfId="31" priority="10" operator="containsText" text="N.v.t.">
      <formula>NOT(ISERROR(SEARCH(("N.v.t."),(A1))))</formula>
    </cfRule>
  </conditionalFormatting>
  <conditionalFormatting sqref="A1:H3 I1:Y23 H7:H14 D9 E9:G10 E12:G14 H16:H24 A23:C23 D23:G24">
    <cfRule type="cellIs" dxfId="27" priority="11" operator="equal">
      <formula>"SO"</formula>
    </cfRule>
  </conditionalFormatting>
  <conditionalFormatting sqref="A1:H3 I1:Y23 H7:H14 D9 E9:G10 E12:G14 H16:H24 A23:C23 D23:G24">
    <cfRule type="cellIs" dxfId="32" priority="12" operator="equal">
      <formula>"NG"</formula>
    </cfRule>
  </conditionalFormatting>
  <conditionalFormatting sqref="A1:A5 B1:C4 D1:G6 H1:H14 I1:Y23 A7:A8 B7:C12 D8:G14 A11 A15:C23 D16:H24">
    <cfRule type="containsText" dxfId="0" priority="13" operator="containsText" text="voor">
      <formula>NOT(ISERROR(SEARCH(("voor"),(A1))))</formula>
    </cfRule>
  </conditionalFormatting>
  <conditionalFormatting sqref="A1:A5 B1:C4 D1:G6 H1:H14 I1:Y23 A7:A8 B7:C12 D8:G14 A11 A15:C23 D16:H24">
    <cfRule type="containsText" dxfId="1" priority="14" operator="containsText" text="tegen">
      <formula>NOT(ISERROR(SEARCH(("tegen"),(A1))))</formula>
    </cfRule>
  </conditionalFormatting>
  <conditionalFormatting sqref="A1:C3 D1:G6 H1:H14 I1:Y23 D8:G14 D16:H24 A23:C23">
    <cfRule type="containsText" dxfId="33" priority="15" operator="containsText" text="SO">
      <formula>NOT(ISERROR(SEARCH(("SO"),(A1))))</formula>
    </cfRule>
  </conditionalFormatting>
  <conditionalFormatting sqref="A1:C3 D1:G6 H1:H14 I1:Y23 D8:G14 D16:H24 A23:C23">
    <cfRule type="containsText" dxfId="34" priority="16" operator="containsText" text="NG">
      <formula>NOT(ISERROR(SEARCH(("NG"),(A1))))</formula>
    </cfRule>
  </conditionalFormatting>
  <drawing r:id="rId1"/>
</worksheet>
</file>

<file path=xl/worksheets/sheet3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5B0F00"/>
    <outlinePr summaryBelow="0" summaryRight="0"/>
  </sheetPr>
  <sheetViews>
    <sheetView workbookViewId="0">
      <pane xSplit="3.0" ySplit="5.0" topLeftCell="D6" activePane="bottomRight" state="frozen"/>
      <selection activeCell="D1" sqref="D1" pane="topRight"/>
      <selection activeCell="A6" sqref="A6" pane="bottomLeft"/>
      <selection activeCell="D6" sqref="D6" pane="bottomRight"/>
    </sheetView>
  </sheetViews>
  <sheetFormatPr customHeight="1" defaultColWidth="14.43" defaultRowHeight="15.75"/>
  <cols>
    <col customWidth="1" min="1" max="1" width="10.86"/>
    <col customWidth="1" min="2" max="2" width="11.0"/>
    <col customWidth="1" min="3" max="3" width="26.29"/>
  </cols>
  <sheetData>
    <row r="1" ht="18.75" customHeight="1">
      <c r="A1" s="2501" t="s">
        <v>126</v>
      </c>
      <c r="B1" s="2502"/>
      <c r="C1" s="2502"/>
      <c r="D1" s="2502"/>
      <c r="E1" s="2502"/>
      <c r="F1" s="2502"/>
      <c r="G1" s="2502"/>
      <c r="H1" s="2502"/>
      <c r="I1" s="2502"/>
      <c r="J1" s="2503"/>
      <c r="K1" s="2503"/>
      <c r="L1" s="2503"/>
      <c r="M1" s="2503"/>
      <c r="N1" s="2503"/>
      <c r="O1" s="2503"/>
      <c r="P1" s="2503"/>
      <c r="Q1" s="2503"/>
      <c r="R1" s="2503"/>
      <c r="S1" s="2503"/>
      <c r="T1" s="2503"/>
      <c r="U1" s="2503"/>
      <c r="V1" s="2503"/>
      <c r="W1" s="2503"/>
      <c r="X1" s="2503"/>
      <c r="Y1" s="2503"/>
      <c r="Z1" s="2503"/>
      <c r="AA1" s="2503"/>
    </row>
    <row r="2" ht="18.75" customHeight="1">
      <c r="A2" s="2505" t="s">
        <v>1029</v>
      </c>
      <c r="B2" s="131"/>
      <c r="C2" s="132"/>
      <c r="D2" s="2789" t="s">
        <v>1951</v>
      </c>
      <c r="E2" s="124"/>
      <c r="F2" s="124"/>
      <c r="G2" s="124"/>
      <c r="H2" s="124"/>
      <c r="I2" s="124"/>
      <c r="J2" s="124"/>
      <c r="K2" s="124"/>
      <c r="L2" s="124"/>
      <c r="M2" s="124"/>
      <c r="N2" s="124"/>
      <c r="O2" s="124"/>
      <c r="P2" s="124"/>
      <c r="Q2" s="124"/>
      <c r="R2" s="124"/>
      <c r="S2" s="124"/>
      <c r="T2" s="124"/>
      <c r="U2" s="124"/>
      <c r="V2" s="124"/>
      <c r="W2" s="124"/>
      <c r="X2" s="124"/>
      <c r="Y2" s="124"/>
      <c r="Z2" s="124"/>
      <c r="AA2" s="20"/>
    </row>
    <row r="3" ht="18.75" customHeight="1">
      <c r="A3" s="2675" t="s">
        <v>1952</v>
      </c>
      <c r="C3" s="135"/>
      <c r="D3" s="43"/>
      <c r="AA3" s="44"/>
    </row>
    <row r="4" ht="18.75" customHeight="1">
      <c r="C4" s="135"/>
      <c r="D4" s="26"/>
      <c r="E4" s="330"/>
      <c r="F4" s="330"/>
      <c r="G4" s="330"/>
      <c r="H4" s="330"/>
      <c r="I4" s="330"/>
      <c r="J4" s="330"/>
      <c r="K4" s="330"/>
      <c r="L4" s="330"/>
      <c r="M4" s="330"/>
      <c r="N4" s="330"/>
      <c r="O4" s="330"/>
      <c r="P4" s="330"/>
      <c r="Q4" s="330"/>
      <c r="R4" s="330"/>
      <c r="S4" s="330"/>
      <c r="T4" s="330"/>
      <c r="U4" s="330"/>
      <c r="V4" s="330"/>
      <c r="W4" s="330"/>
      <c r="X4" s="330"/>
      <c r="Y4" s="330"/>
      <c r="Z4" s="330"/>
      <c r="AA4" s="27"/>
    </row>
    <row r="5" ht="18.75" customHeight="1">
      <c r="A5" s="2508" t="s">
        <v>86</v>
      </c>
      <c r="B5" s="2509" t="s">
        <v>87</v>
      </c>
      <c r="C5" s="2510" t="s">
        <v>88</v>
      </c>
      <c r="D5" s="2511" t="str">
        <f>HYPERLINK("https://www.reddit.com/r/RMTK/comments/aipqmi/","M0020")</f>
        <v>M0020</v>
      </c>
      <c r="E5" s="2511" t="str">
        <f>HYPERLINK("https://www.reddit.com/r/RMTK/comments/aiq3cp/","M0021")</f>
        <v>M0021</v>
      </c>
      <c r="F5" s="2511" t="str">
        <f>HYPERLINK("https://www.reddit.com/r/RMTK/comments/aj2ow8/","M0022")</f>
        <v>M0022</v>
      </c>
      <c r="G5" s="2511" t="str">
        <f>HYPERLINK("https://www.reddit.com/r/RMTK/comments/ajf9vj/","M0023")</f>
        <v>M0023</v>
      </c>
      <c r="H5" s="2511" t="str">
        <f>HYPERLINK("https://www.reddit.com/r/RMTK/comments/ajfndl/","M0024")</f>
        <v>M0024</v>
      </c>
      <c r="I5" s="2511" t="str">
        <f>HYPERLINK("https://www.reddit.com/r/RMTK/comments/akqcw6","M0025")</f>
        <v>M0025</v>
      </c>
      <c r="J5" s="2511" t="str">
        <f>HYPERLINK("https://www.reddit.com/r/RMTK/comments/al2x7m/","M0026")</f>
        <v>M0026</v>
      </c>
      <c r="K5" s="2511" t="str">
        <f>HYPERLINK("https://www.reddit.com/r/RMTK/comments/aleh5w/","M0027")</f>
        <v>M0027</v>
      </c>
      <c r="L5" s="2511" t="str">
        <f>HYPERLINK("https://www.reddit.com/r/RMTK/comments/alfjq1/","M0028")</f>
        <v>M0028</v>
      </c>
      <c r="M5" s="2511" t="str">
        <f>HYPERLINK("https://www.reddit.com/r/RMTK/comments/alrx3g/","M0029")</f>
        <v>M0029</v>
      </c>
      <c r="N5" s="2511" t="str">
        <f>HYPERLINK("https://www.reddit.com/r/RMTK/comments/alskg2/","M0030")</f>
        <v>M0030</v>
      </c>
      <c r="O5" s="2511" t="str">
        <f>HYPERLINK("https://www.reddit.com/r/RMTK/comments/a9np8r/","W0005")</f>
        <v>W0005</v>
      </c>
      <c r="P5" s="2511" t="str">
        <f>HYPERLINK("https://www.reddit.com/r/RMTK/comments/adxbtn/","W0007")</f>
        <v>W0007</v>
      </c>
      <c r="Q5" s="2511" t="str">
        <f>HYPERLINK("https://www.reddit.com/r/RMTK/comments/an3yg1","M0031")</f>
        <v>M0031</v>
      </c>
      <c r="R5" s="2511" t="str">
        <f>HYPERLINK("https://www.reddit.com/r/RMTK/comments/an4pf6/","M0032")</f>
        <v>M0032</v>
      </c>
      <c r="S5" s="2511" t="str">
        <f>HYPERLINK("https://www.reddit.com/r/RMTK/comments/ansc9j/","M0033")</f>
        <v>M0033</v>
      </c>
      <c r="T5" s="2511" t="str">
        <f>HYPERLINK("https://www.reddit.com/r/RMTK/comments/ao8cgj/","M0034")</f>
        <v>M0034</v>
      </c>
      <c r="U5" s="2511" t="str">
        <f>HYPERLINK("https://www.reddit.com/r/RMTK/comments/apk0kw/","M0035")</f>
        <v>M0035</v>
      </c>
      <c r="V5" s="2511" t="str">
        <f>HYPERLINK("https://www.reddit.com/r/RMTK/comments/aqngvk/","M0036")</f>
        <v>M0036</v>
      </c>
      <c r="W5" s="2511" t="str">
        <f>HYPERLINK("https://www.reddit.com/r/RMTK/comments/aqnnru/","M0037")</f>
        <v>M0037</v>
      </c>
      <c r="X5" s="2511" t="str">
        <f>HYPERLINK("https://www.reddit.com/r/RMTK/comments/apwpjm/","W0010")</f>
        <v>W0010</v>
      </c>
      <c r="Y5" s="2511" t="str">
        <f>HYPERLINK("https://www.reddit.com/r/RMTK/comments/asennu/","M0038")</f>
        <v>M0038</v>
      </c>
      <c r="Z5" s="2511" t="str">
        <f>HYPERLINK("https://www.reddit.com/r/RMTK/comments/av3xoy/","M0039")</f>
        <v>M0039</v>
      </c>
      <c r="AA5" s="2511" t="str">
        <f>HYPERLINK("https://www.reddit.com/r/RMTK/comments/avu0ir/","W0011")</f>
        <v>W0011</v>
      </c>
    </row>
    <row r="6" ht="6.0" customHeight="1">
      <c r="A6" s="2513"/>
      <c r="B6" s="2631"/>
      <c r="C6" s="2514"/>
      <c r="D6" s="2676"/>
      <c r="E6" s="2790"/>
      <c r="F6" s="2790"/>
      <c r="G6" s="2790"/>
      <c r="H6" s="2790"/>
      <c r="I6" s="2790"/>
      <c r="J6" s="2790"/>
      <c r="K6" s="2790"/>
      <c r="L6" s="2790"/>
      <c r="M6" s="2790"/>
      <c r="N6" s="2790"/>
      <c r="O6" s="2790"/>
      <c r="P6" s="2790"/>
      <c r="Q6" s="2790"/>
      <c r="R6" s="2790"/>
      <c r="S6" s="2790"/>
      <c r="T6" s="2790"/>
      <c r="U6" s="2790"/>
      <c r="V6" s="2790"/>
      <c r="W6" s="2790"/>
      <c r="X6" s="2790"/>
      <c r="Y6" s="2790"/>
      <c r="Z6" s="2790"/>
      <c r="AA6" s="2790"/>
    </row>
    <row r="7" ht="18.75" customHeight="1">
      <c r="A7" s="2519" t="s">
        <v>1953</v>
      </c>
      <c r="B7" s="2679" t="s">
        <v>214</v>
      </c>
      <c r="C7" s="2791" t="s">
        <v>109</v>
      </c>
      <c r="D7" s="2522" t="s">
        <v>91</v>
      </c>
      <c r="E7" s="2522" t="s">
        <v>92</v>
      </c>
      <c r="F7" s="2522" t="s">
        <v>91</v>
      </c>
      <c r="G7" s="2522" t="s">
        <v>92</v>
      </c>
      <c r="H7" s="2523" t="s">
        <v>91</v>
      </c>
      <c r="I7" s="2522" t="s">
        <v>91</v>
      </c>
      <c r="J7" s="2522" t="s">
        <v>91</v>
      </c>
      <c r="K7" s="2522" t="s">
        <v>92</v>
      </c>
      <c r="L7" s="2522" t="s">
        <v>91</v>
      </c>
      <c r="M7" s="2522" t="s">
        <v>92</v>
      </c>
      <c r="N7" s="2522" t="s">
        <v>92</v>
      </c>
      <c r="O7" s="2522" t="s">
        <v>91</v>
      </c>
      <c r="P7" s="2523" t="s">
        <v>91</v>
      </c>
      <c r="Q7" s="2522" t="s">
        <v>91</v>
      </c>
      <c r="R7" s="2522" t="s">
        <v>92</v>
      </c>
      <c r="S7" s="2522" t="s">
        <v>92</v>
      </c>
      <c r="T7" s="2523" t="s">
        <v>92</v>
      </c>
      <c r="U7" s="2522" t="s">
        <v>92</v>
      </c>
      <c r="V7" s="2522" t="s">
        <v>92</v>
      </c>
      <c r="W7" s="2522" t="s">
        <v>92</v>
      </c>
      <c r="X7" s="2523" t="s">
        <v>91</v>
      </c>
      <c r="Y7" s="2523" t="s">
        <v>91</v>
      </c>
      <c r="Z7" s="2522" t="s">
        <v>93</v>
      </c>
      <c r="AA7" s="2523" t="s">
        <v>93</v>
      </c>
    </row>
    <row r="8" ht="18.75" customHeight="1">
      <c r="A8" s="158"/>
      <c r="B8" s="813"/>
      <c r="C8" s="2792" t="s">
        <v>197</v>
      </c>
      <c r="D8" s="2522" t="s">
        <v>91</v>
      </c>
      <c r="E8" s="2522" t="s">
        <v>92</v>
      </c>
      <c r="F8" s="2522" t="s">
        <v>91</v>
      </c>
      <c r="G8" s="2522" t="s">
        <v>92</v>
      </c>
      <c r="H8" s="2523" t="s">
        <v>91</v>
      </c>
      <c r="I8" s="2522" t="s">
        <v>91</v>
      </c>
      <c r="J8" s="2522" t="s">
        <v>91</v>
      </c>
      <c r="K8" s="2522" t="s">
        <v>92</v>
      </c>
      <c r="L8" s="2522" t="s">
        <v>91</v>
      </c>
      <c r="M8" s="2522" t="s">
        <v>92</v>
      </c>
      <c r="N8" s="2522" t="s">
        <v>92</v>
      </c>
      <c r="O8" s="2522" t="s">
        <v>91</v>
      </c>
      <c r="P8" s="2523" t="s">
        <v>91</v>
      </c>
      <c r="Q8" s="2522" t="s">
        <v>91</v>
      </c>
      <c r="R8" s="2522" t="s">
        <v>92</v>
      </c>
      <c r="S8" s="2522" t="s">
        <v>92</v>
      </c>
      <c r="T8" s="2523" t="s">
        <v>92</v>
      </c>
      <c r="U8" s="2522" t="s">
        <v>92</v>
      </c>
      <c r="V8" s="2522" t="s">
        <v>92</v>
      </c>
      <c r="W8" s="2522" t="s">
        <v>92</v>
      </c>
      <c r="X8" s="2523" t="s">
        <v>91</v>
      </c>
      <c r="Y8" s="2522" t="s">
        <v>91</v>
      </c>
      <c r="Z8" s="2694" t="s">
        <v>91</v>
      </c>
      <c r="AA8" s="2523" t="s">
        <v>91</v>
      </c>
    </row>
    <row r="9" ht="18.75" customHeight="1">
      <c r="A9" s="158"/>
      <c r="B9" s="813"/>
      <c r="C9" s="2792" t="s">
        <v>182</v>
      </c>
      <c r="D9" s="2522" t="s">
        <v>91</v>
      </c>
      <c r="E9" s="2522" t="s">
        <v>92</v>
      </c>
      <c r="F9" s="2522" t="s">
        <v>91</v>
      </c>
      <c r="G9" s="2522" t="s">
        <v>92</v>
      </c>
      <c r="H9" s="2523" t="s">
        <v>91</v>
      </c>
      <c r="I9" s="2522" t="s">
        <v>91</v>
      </c>
      <c r="J9" s="2522" t="s">
        <v>91</v>
      </c>
      <c r="K9" s="2522" t="s">
        <v>92</v>
      </c>
      <c r="L9" s="2522" t="s">
        <v>91</v>
      </c>
      <c r="M9" s="2522" t="s">
        <v>92</v>
      </c>
      <c r="N9" s="2522" t="s">
        <v>92</v>
      </c>
      <c r="O9" s="2522" t="s">
        <v>91</v>
      </c>
      <c r="P9" s="2523" t="s">
        <v>91</v>
      </c>
      <c r="Q9" s="2522" t="s">
        <v>92</v>
      </c>
      <c r="R9" s="2522" t="s">
        <v>92</v>
      </c>
      <c r="S9" s="2522" t="s">
        <v>92</v>
      </c>
      <c r="T9" s="2523" t="s">
        <v>92</v>
      </c>
      <c r="U9" s="2522" t="s">
        <v>92</v>
      </c>
      <c r="V9" s="2522" t="s">
        <v>92</v>
      </c>
      <c r="W9" s="2522" t="s">
        <v>92</v>
      </c>
      <c r="X9" s="2523" t="s">
        <v>91</v>
      </c>
      <c r="Y9" s="2523" t="s">
        <v>91</v>
      </c>
      <c r="Z9" s="2694" t="s">
        <v>91</v>
      </c>
      <c r="AA9" s="2523" t="s">
        <v>91</v>
      </c>
    </row>
    <row r="10" ht="18.75" customHeight="1">
      <c r="A10" s="158"/>
      <c r="B10" s="813"/>
      <c r="C10" s="2792" t="s">
        <v>1330</v>
      </c>
      <c r="D10" s="2522" t="s">
        <v>91</v>
      </c>
      <c r="E10" s="2522" t="s">
        <v>92</v>
      </c>
      <c r="F10" s="2522" t="s">
        <v>91</v>
      </c>
      <c r="G10" s="2522" t="s">
        <v>92</v>
      </c>
      <c r="H10" s="2523" t="s">
        <v>92</v>
      </c>
      <c r="I10" s="2522" t="s">
        <v>91</v>
      </c>
      <c r="J10" s="2522" t="s">
        <v>91</v>
      </c>
      <c r="K10" s="2522" t="s">
        <v>92</v>
      </c>
      <c r="L10" s="2522" t="s">
        <v>91</v>
      </c>
      <c r="M10" s="2522" t="s">
        <v>92</v>
      </c>
      <c r="N10" s="2522" t="s">
        <v>92</v>
      </c>
      <c r="O10" s="2522" t="s">
        <v>91</v>
      </c>
      <c r="P10" s="2523" t="s">
        <v>91</v>
      </c>
      <c r="Q10" s="2522" t="s">
        <v>91</v>
      </c>
      <c r="R10" s="2522" t="s">
        <v>92</v>
      </c>
      <c r="S10" s="2522" t="s">
        <v>91</v>
      </c>
      <c r="T10" s="2523" t="s">
        <v>92</v>
      </c>
      <c r="U10" s="2522" t="s">
        <v>92</v>
      </c>
      <c r="V10" s="2522" t="s">
        <v>92</v>
      </c>
      <c r="W10" s="2522" t="s">
        <v>92</v>
      </c>
      <c r="X10" s="2523" t="s">
        <v>91</v>
      </c>
      <c r="Y10" s="2523" t="s">
        <v>91</v>
      </c>
      <c r="Z10" s="2694" t="s">
        <v>91</v>
      </c>
      <c r="AA10" s="2523" t="s">
        <v>91</v>
      </c>
    </row>
    <row r="11" ht="18.75" customHeight="1">
      <c r="A11" s="158"/>
      <c r="B11" s="813"/>
      <c r="C11" s="2792" t="s">
        <v>326</v>
      </c>
      <c r="D11" s="2522" t="s">
        <v>91</v>
      </c>
      <c r="E11" s="2522" t="s">
        <v>92</v>
      </c>
      <c r="F11" s="2522" t="s">
        <v>91</v>
      </c>
      <c r="G11" s="2522" t="s">
        <v>92</v>
      </c>
      <c r="H11" s="2523" t="s">
        <v>91</v>
      </c>
      <c r="I11" s="2522" t="s">
        <v>93</v>
      </c>
      <c r="J11" s="2522" t="s">
        <v>93</v>
      </c>
      <c r="K11" s="2522" t="s">
        <v>93</v>
      </c>
      <c r="L11" s="2522" t="s">
        <v>93</v>
      </c>
      <c r="M11" s="2522" t="s">
        <v>93</v>
      </c>
      <c r="N11" s="2522" t="s">
        <v>93</v>
      </c>
      <c r="O11" s="2522" t="s">
        <v>93</v>
      </c>
      <c r="P11" s="2523" t="s">
        <v>93</v>
      </c>
      <c r="Q11" s="2522" t="s">
        <v>92</v>
      </c>
      <c r="R11" s="2522" t="s">
        <v>92</v>
      </c>
      <c r="S11" s="2522" t="s">
        <v>92</v>
      </c>
      <c r="T11" s="2523" t="s">
        <v>92</v>
      </c>
      <c r="U11" s="2522" t="s">
        <v>92</v>
      </c>
      <c r="V11" s="2522" t="s">
        <v>92</v>
      </c>
      <c r="W11" s="2522" t="s">
        <v>92</v>
      </c>
      <c r="X11" s="2523" t="s">
        <v>91</v>
      </c>
      <c r="Y11" s="2523" t="s">
        <v>91</v>
      </c>
      <c r="Z11" s="2522" t="s">
        <v>93</v>
      </c>
      <c r="AA11" s="2523" t="s">
        <v>93</v>
      </c>
    </row>
    <row r="12" ht="18.75" customHeight="1">
      <c r="A12" s="158"/>
      <c r="B12" s="813"/>
      <c r="C12" s="2792" t="s">
        <v>97</v>
      </c>
      <c r="D12" s="2522" t="s">
        <v>91</v>
      </c>
      <c r="E12" s="2522" t="s">
        <v>92</v>
      </c>
      <c r="F12" s="2522" t="s">
        <v>92</v>
      </c>
      <c r="G12" s="2522" t="s">
        <v>92</v>
      </c>
      <c r="H12" s="2523" t="s">
        <v>91</v>
      </c>
      <c r="I12" s="2522" t="s">
        <v>91</v>
      </c>
      <c r="J12" s="2522" t="s">
        <v>91</v>
      </c>
      <c r="K12" s="2522" t="s">
        <v>92</v>
      </c>
      <c r="L12" s="2522" t="s">
        <v>91</v>
      </c>
      <c r="M12" s="2522" t="s">
        <v>91</v>
      </c>
      <c r="N12" s="2522" t="s">
        <v>91</v>
      </c>
      <c r="O12" s="2522" t="s">
        <v>91</v>
      </c>
      <c r="P12" s="2523" t="s">
        <v>91</v>
      </c>
      <c r="Q12" s="2522" t="s">
        <v>92</v>
      </c>
      <c r="R12" s="2522" t="s">
        <v>92</v>
      </c>
      <c r="S12" s="2522" t="s">
        <v>92</v>
      </c>
      <c r="T12" s="2523" t="s">
        <v>92</v>
      </c>
      <c r="U12" s="2522" t="s">
        <v>92</v>
      </c>
      <c r="V12" s="2522" t="s">
        <v>91</v>
      </c>
      <c r="W12" s="2522" t="s">
        <v>92</v>
      </c>
      <c r="X12" s="2523" t="s">
        <v>91</v>
      </c>
      <c r="Y12" s="2523" t="s">
        <v>91</v>
      </c>
      <c r="Z12" s="2694" t="s">
        <v>91</v>
      </c>
      <c r="AA12" s="2523" t="s">
        <v>91</v>
      </c>
    </row>
    <row r="13" ht="18.75" customHeight="1">
      <c r="A13" s="158"/>
      <c r="B13" s="813"/>
      <c r="C13" s="2793" t="s">
        <v>1333</v>
      </c>
      <c r="D13" s="2522" t="s">
        <v>91</v>
      </c>
      <c r="E13" s="2522" t="s">
        <v>92</v>
      </c>
      <c r="F13" s="2522" t="s">
        <v>92</v>
      </c>
      <c r="G13" s="2522" t="s">
        <v>92</v>
      </c>
      <c r="H13" s="2523" t="s">
        <v>91</v>
      </c>
      <c r="I13" s="2522" t="s">
        <v>93</v>
      </c>
      <c r="J13" s="2522" t="s">
        <v>93</v>
      </c>
      <c r="K13" s="2522" t="s">
        <v>93</v>
      </c>
      <c r="L13" s="2522" t="s">
        <v>93</v>
      </c>
      <c r="M13" s="2522" t="s">
        <v>93</v>
      </c>
      <c r="N13" s="2522" t="s">
        <v>93</v>
      </c>
      <c r="O13" s="2522" t="s">
        <v>93</v>
      </c>
      <c r="P13" s="2523" t="s">
        <v>93</v>
      </c>
      <c r="Q13" s="2522" t="s">
        <v>91</v>
      </c>
      <c r="R13" s="2522" t="s">
        <v>92</v>
      </c>
      <c r="S13" s="2522" t="s">
        <v>91</v>
      </c>
      <c r="T13" s="2523" t="s">
        <v>92</v>
      </c>
      <c r="U13" s="2522" t="s">
        <v>92</v>
      </c>
      <c r="V13" s="2522" t="s">
        <v>91</v>
      </c>
      <c r="W13" s="2522" t="s">
        <v>92</v>
      </c>
      <c r="X13" s="2523" t="s">
        <v>91</v>
      </c>
      <c r="Y13" s="2523" t="s">
        <v>91</v>
      </c>
      <c r="Z13" s="2694" t="s">
        <v>91</v>
      </c>
      <c r="AA13" s="2523" t="s">
        <v>91</v>
      </c>
    </row>
    <row r="14" ht="18.75" customHeight="1">
      <c r="A14" s="158"/>
      <c r="B14" s="968"/>
      <c r="C14" s="2794" t="s">
        <v>1166</v>
      </c>
      <c r="D14" s="2795" t="s">
        <v>118</v>
      </c>
      <c r="E14" s="2705" t="s">
        <v>118</v>
      </c>
      <c r="F14" s="2705" t="s">
        <v>118</v>
      </c>
      <c r="G14" s="2705" t="s">
        <v>118</v>
      </c>
      <c r="H14" s="2706" t="s">
        <v>118</v>
      </c>
      <c r="I14" s="2534" t="s">
        <v>91</v>
      </c>
      <c r="J14" s="2534" t="s">
        <v>91</v>
      </c>
      <c r="K14" s="2796" t="s">
        <v>92</v>
      </c>
      <c r="L14" s="2534" t="s">
        <v>91</v>
      </c>
      <c r="M14" s="2796" t="s">
        <v>92</v>
      </c>
      <c r="N14" s="2796" t="s">
        <v>92</v>
      </c>
      <c r="O14" s="2534" t="s">
        <v>91</v>
      </c>
      <c r="P14" s="2535" t="s">
        <v>91</v>
      </c>
      <c r="Q14" s="2522" t="s">
        <v>91</v>
      </c>
      <c r="R14" s="2522" t="s">
        <v>92</v>
      </c>
      <c r="S14" s="2522" t="s">
        <v>91</v>
      </c>
      <c r="T14" s="2523" t="s">
        <v>92</v>
      </c>
      <c r="U14" s="2522" t="s">
        <v>92</v>
      </c>
      <c r="V14" s="2522" t="s">
        <v>92</v>
      </c>
      <c r="W14" s="2522" t="s">
        <v>92</v>
      </c>
      <c r="X14" s="2523" t="s">
        <v>91</v>
      </c>
      <c r="Y14" s="2523" t="s">
        <v>91</v>
      </c>
      <c r="Z14" s="2694" t="s">
        <v>91</v>
      </c>
      <c r="AA14" s="2523" t="s">
        <v>91</v>
      </c>
    </row>
    <row r="15" ht="18.75" customHeight="1">
      <c r="A15" s="158"/>
      <c r="B15" s="2797" t="s">
        <v>1287</v>
      </c>
      <c r="C15" s="2798" t="s">
        <v>1325</v>
      </c>
      <c r="D15" s="2522" t="s">
        <v>91</v>
      </c>
      <c r="E15" s="2522" t="s">
        <v>92</v>
      </c>
      <c r="F15" s="2522" t="s">
        <v>91</v>
      </c>
      <c r="G15" s="2522" t="s">
        <v>92</v>
      </c>
      <c r="H15" s="2523" t="s">
        <v>91</v>
      </c>
      <c r="I15" s="2534" t="s">
        <v>91</v>
      </c>
      <c r="J15" s="2534" t="s">
        <v>91</v>
      </c>
      <c r="K15" s="2796" t="s">
        <v>92</v>
      </c>
      <c r="L15" s="2534" t="s">
        <v>91</v>
      </c>
      <c r="M15" s="2534" t="s">
        <v>91</v>
      </c>
      <c r="N15" s="2796" t="s">
        <v>92</v>
      </c>
      <c r="O15" s="2534" t="s">
        <v>91</v>
      </c>
      <c r="P15" s="2535" t="s">
        <v>91</v>
      </c>
      <c r="Q15" s="2522" t="s">
        <v>92</v>
      </c>
      <c r="R15" s="2522" t="s">
        <v>92</v>
      </c>
      <c r="S15" s="2522" t="s">
        <v>92</v>
      </c>
      <c r="T15" s="2523" t="s">
        <v>92</v>
      </c>
      <c r="U15" s="2522" t="s">
        <v>92</v>
      </c>
      <c r="V15" s="2522" t="s">
        <v>92</v>
      </c>
      <c r="W15" s="2522" t="s">
        <v>92</v>
      </c>
      <c r="X15" s="2523" t="s">
        <v>91</v>
      </c>
      <c r="Y15" s="2523" t="s">
        <v>91</v>
      </c>
      <c r="Z15" s="2694" t="s">
        <v>91</v>
      </c>
      <c r="AA15" s="2523" t="s">
        <v>91</v>
      </c>
    </row>
    <row r="16" ht="18.75" customHeight="1">
      <c r="A16" s="158"/>
      <c r="B16" s="813"/>
      <c r="C16" s="2799" t="s">
        <v>294</v>
      </c>
      <c r="D16" s="2522" t="s">
        <v>91</v>
      </c>
      <c r="E16" s="2522" t="s">
        <v>92</v>
      </c>
      <c r="F16" s="2522" t="s">
        <v>91</v>
      </c>
      <c r="G16" s="2522" t="s">
        <v>92</v>
      </c>
      <c r="H16" s="2523" t="s">
        <v>91</v>
      </c>
      <c r="I16" s="2534" t="s">
        <v>91</v>
      </c>
      <c r="J16" s="2534" t="s">
        <v>91</v>
      </c>
      <c r="K16" s="2796" t="s">
        <v>92</v>
      </c>
      <c r="L16" s="2534" t="s">
        <v>91</v>
      </c>
      <c r="M16" s="2522" t="s">
        <v>117</v>
      </c>
      <c r="N16" s="2796" t="s">
        <v>92</v>
      </c>
      <c r="O16" s="2534" t="s">
        <v>91</v>
      </c>
      <c r="P16" s="2535" t="s">
        <v>91</v>
      </c>
      <c r="Q16" s="2522" t="s">
        <v>92</v>
      </c>
      <c r="R16" s="2522" t="s">
        <v>92</v>
      </c>
      <c r="S16" s="2522" t="s">
        <v>92</v>
      </c>
      <c r="T16" s="2523" t="s">
        <v>92</v>
      </c>
      <c r="U16" s="2522" t="s">
        <v>92</v>
      </c>
      <c r="V16" s="2522" t="s">
        <v>92</v>
      </c>
      <c r="W16" s="2522" t="s">
        <v>92</v>
      </c>
      <c r="X16" s="2523" t="s">
        <v>91</v>
      </c>
      <c r="Y16" s="2523" t="s">
        <v>91</v>
      </c>
      <c r="Z16" s="2694" t="s">
        <v>91</v>
      </c>
      <c r="AA16" s="2523" t="s">
        <v>91</v>
      </c>
    </row>
    <row r="17" ht="18.75" customHeight="1">
      <c r="A17" s="158"/>
      <c r="B17" s="813"/>
      <c r="C17" s="2799" t="s">
        <v>1328</v>
      </c>
      <c r="D17" s="2522" t="s">
        <v>91</v>
      </c>
      <c r="E17" s="2522" t="s">
        <v>92</v>
      </c>
      <c r="F17" s="2522" t="s">
        <v>91</v>
      </c>
      <c r="G17" s="2522" t="s">
        <v>91</v>
      </c>
      <c r="H17" s="2523" t="s">
        <v>92</v>
      </c>
      <c r="I17" s="2534" t="s">
        <v>91</v>
      </c>
      <c r="J17" s="2534" t="s">
        <v>91</v>
      </c>
      <c r="K17" s="2796" t="s">
        <v>92</v>
      </c>
      <c r="L17" s="2534" t="s">
        <v>91</v>
      </c>
      <c r="M17" s="2534" t="s">
        <v>91</v>
      </c>
      <c r="N17" s="2534" t="s">
        <v>91</v>
      </c>
      <c r="O17" s="2534" t="s">
        <v>91</v>
      </c>
      <c r="P17" s="2535" t="s">
        <v>91</v>
      </c>
      <c r="Q17" s="2522" t="s">
        <v>91</v>
      </c>
      <c r="R17" s="2522" t="s">
        <v>92</v>
      </c>
      <c r="S17" s="2522" t="s">
        <v>92</v>
      </c>
      <c r="T17" s="2523" t="s">
        <v>92</v>
      </c>
      <c r="U17" s="2522" t="s">
        <v>92</v>
      </c>
      <c r="V17" s="2522" t="s">
        <v>92</v>
      </c>
      <c r="W17" s="2522" t="s">
        <v>92</v>
      </c>
      <c r="X17" s="2523" t="s">
        <v>91</v>
      </c>
      <c r="Y17" s="2523" t="s">
        <v>93</v>
      </c>
      <c r="Z17" s="2694" t="s">
        <v>91</v>
      </c>
      <c r="AA17" s="2523" t="s">
        <v>91</v>
      </c>
    </row>
    <row r="18" ht="18.75" customHeight="1">
      <c r="A18" s="158"/>
      <c r="B18" s="813"/>
      <c r="C18" s="2800" t="s">
        <v>1329</v>
      </c>
      <c r="D18" s="2522" t="s">
        <v>91</v>
      </c>
      <c r="E18" s="2522" t="s">
        <v>91</v>
      </c>
      <c r="F18" s="2522" t="s">
        <v>92</v>
      </c>
      <c r="G18" s="2522" t="s">
        <v>91</v>
      </c>
      <c r="H18" s="2523" t="s">
        <v>91</v>
      </c>
      <c r="I18" s="2522" t="s">
        <v>93</v>
      </c>
      <c r="J18" s="2522" t="s">
        <v>93</v>
      </c>
      <c r="K18" s="2522" t="s">
        <v>93</v>
      </c>
      <c r="L18" s="2522" t="s">
        <v>93</v>
      </c>
      <c r="M18" s="2522" t="s">
        <v>93</v>
      </c>
      <c r="N18" s="2522" t="s">
        <v>93</v>
      </c>
      <c r="O18" s="2522" t="s">
        <v>93</v>
      </c>
      <c r="P18" s="2523" t="s">
        <v>93</v>
      </c>
      <c r="Q18" s="2522" t="s">
        <v>93</v>
      </c>
      <c r="R18" s="2522" t="s">
        <v>93</v>
      </c>
      <c r="S18" s="2522" t="s">
        <v>93</v>
      </c>
      <c r="T18" s="2523" t="s">
        <v>93</v>
      </c>
      <c r="U18" s="2522" t="s">
        <v>93</v>
      </c>
      <c r="V18" s="2522" t="s">
        <v>93</v>
      </c>
      <c r="W18" s="2522" t="s">
        <v>93</v>
      </c>
      <c r="X18" s="2523" t="s">
        <v>93</v>
      </c>
      <c r="Y18" s="2523" t="s">
        <v>93</v>
      </c>
      <c r="Z18" s="2705" t="s">
        <v>118</v>
      </c>
      <c r="AA18" s="2706" t="s">
        <v>118</v>
      </c>
    </row>
    <row r="19" ht="18.75" customHeight="1">
      <c r="A19" s="158"/>
      <c r="B19" s="813"/>
      <c r="C19" s="2801"/>
      <c r="D19" s="2795" t="s">
        <v>118</v>
      </c>
      <c r="E19" s="2705" t="s">
        <v>118</v>
      </c>
      <c r="F19" s="2705" t="s">
        <v>118</v>
      </c>
      <c r="G19" s="2705" t="s">
        <v>118</v>
      </c>
      <c r="H19" s="2705" t="s">
        <v>118</v>
      </c>
      <c r="I19" s="2795" t="s">
        <v>118</v>
      </c>
      <c r="J19" s="2705" t="s">
        <v>118</v>
      </c>
      <c r="K19" s="2705" t="s">
        <v>118</v>
      </c>
      <c r="L19" s="2705" t="s">
        <v>118</v>
      </c>
      <c r="M19" s="2705" t="s">
        <v>118</v>
      </c>
      <c r="N19" s="2705" t="s">
        <v>118</v>
      </c>
      <c r="O19" s="2705" t="s">
        <v>118</v>
      </c>
      <c r="P19" s="2705" t="s">
        <v>118</v>
      </c>
      <c r="Q19" s="2795" t="s">
        <v>118</v>
      </c>
      <c r="R19" s="2705" t="s">
        <v>118</v>
      </c>
      <c r="S19" s="2705" t="s">
        <v>118</v>
      </c>
      <c r="T19" s="2705" t="s">
        <v>118</v>
      </c>
      <c r="U19" s="2795" t="s">
        <v>118</v>
      </c>
      <c r="V19" s="2705" t="s">
        <v>118</v>
      </c>
      <c r="W19" s="2705" t="s">
        <v>118</v>
      </c>
      <c r="X19" s="2705" t="s">
        <v>118</v>
      </c>
      <c r="Y19" s="2637" t="s">
        <v>118</v>
      </c>
      <c r="Z19" s="2522" t="s">
        <v>93</v>
      </c>
      <c r="AA19" s="2523" t="s">
        <v>93</v>
      </c>
    </row>
    <row r="20" ht="18.75" customHeight="1">
      <c r="A20" s="158"/>
      <c r="B20" s="813"/>
      <c r="C20" s="2801" t="s">
        <v>249</v>
      </c>
      <c r="D20" s="2522" t="s">
        <v>91</v>
      </c>
      <c r="E20" s="2522" t="s">
        <v>92</v>
      </c>
      <c r="F20" s="2522" t="s">
        <v>91</v>
      </c>
      <c r="G20" s="2522" t="s">
        <v>92</v>
      </c>
      <c r="H20" s="2523" t="s">
        <v>91</v>
      </c>
      <c r="I20" s="2534" t="s">
        <v>91</v>
      </c>
      <c r="J20" s="2534" t="s">
        <v>91</v>
      </c>
      <c r="K20" s="2796" t="s">
        <v>92</v>
      </c>
      <c r="L20" s="2534" t="s">
        <v>91</v>
      </c>
      <c r="M20" s="2534" t="s">
        <v>91</v>
      </c>
      <c r="N20" s="2796" t="s">
        <v>92</v>
      </c>
      <c r="O20" s="2534" t="s">
        <v>91</v>
      </c>
      <c r="P20" s="2535" t="s">
        <v>91</v>
      </c>
      <c r="Q20" s="2522" t="s">
        <v>92</v>
      </c>
      <c r="R20" s="2522" t="s">
        <v>92</v>
      </c>
      <c r="S20" s="2522" t="s">
        <v>91</v>
      </c>
      <c r="T20" s="2523" t="s">
        <v>92</v>
      </c>
      <c r="U20" s="2522" t="s">
        <v>92</v>
      </c>
      <c r="V20" s="2522" t="s">
        <v>92</v>
      </c>
      <c r="W20" s="2522" t="s">
        <v>92</v>
      </c>
      <c r="X20" s="2523" t="s">
        <v>91</v>
      </c>
      <c r="Y20" s="2523" t="s">
        <v>91</v>
      </c>
      <c r="Z20" s="2694" t="s">
        <v>91</v>
      </c>
      <c r="AA20" s="2523" t="s">
        <v>91</v>
      </c>
    </row>
    <row r="21" ht="18.75" customHeight="1">
      <c r="A21" s="158"/>
      <c r="B21" s="813"/>
      <c r="C21" s="2802" t="s">
        <v>252</v>
      </c>
      <c r="D21" s="2522" t="s">
        <v>91</v>
      </c>
      <c r="E21" s="2522" t="s">
        <v>92</v>
      </c>
      <c r="F21" s="2522" t="s">
        <v>91</v>
      </c>
      <c r="G21" s="2522" t="s">
        <v>92</v>
      </c>
      <c r="H21" s="2523" t="s">
        <v>91</v>
      </c>
      <c r="I21" s="2534" t="s">
        <v>91</v>
      </c>
      <c r="J21" s="2534" t="s">
        <v>91</v>
      </c>
      <c r="K21" s="2796" t="s">
        <v>92</v>
      </c>
      <c r="L21" s="2534" t="s">
        <v>91</v>
      </c>
      <c r="M21" s="2534" t="s">
        <v>91</v>
      </c>
      <c r="N21" s="2796" t="s">
        <v>92</v>
      </c>
      <c r="O21" s="2534" t="s">
        <v>91</v>
      </c>
      <c r="P21" s="2535" t="s">
        <v>91</v>
      </c>
      <c r="Q21" s="2522" t="s">
        <v>92</v>
      </c>
      <c r="R21" s="2522" t="s">
        <v>92</v>
      </c>
      <c r="S21" s="2522" t="s">
        <v>91</v>
      </c>
      <c r="T21" s="2523" t="s">
        <v>92</v>
      </c>
      <c r="U21" s="2522" t="s">
        <v>92</v>
      </c>
      <c r="V21" s="2522" t="s">
        <v>91</v>
      </c>
      <c r="W21" s="2522" t="s">
        <v>92</v>
      </c>
      <c r="X21" s="2523" t="s">
        <v>91</v>
      </c>
      <c r="Y21" s="2523" t="s">
        <v>93</v>
      </c>
      <c r="Z21" s="2522" t="s">
        <v>93</v>
      </c>
      <c r="AA21" s="2523" t="s">
        <v>93</v>
      </c>
    </row>
    <row r="22" ht="18.75" customHeight="1">
      <c r="A22" s="158"/>
      <c r="B22" s="968"/>
      <c r="C22" s="2803" t="s">
        <v>1337</v>
      </c>
      <c r="D22" s="2522" t="s">
        <v>93</v>
      </c>
      <c r="E22" s="2522" t="s">
        <v>93</v>
      </c>
      <c r="F22" s="2522" t="s">
        <v>93</v>
      </c>
      <c r="G22" s="2522" t="s">
        <v>93</v>
      </c>
      <c r="H22" s="2523" t="s">
        <v>93</v>
      </c>
      <c r="I22" s="2522" t="s">
        <v>93</v>
      </c>
      <c r="J22" s="2522" t="s">
        <v>93</v>
      </c>
      <c r="K22" s="2522" t="s">
        <v>93</v>
      </c>
      <c r="L22" s="2522" t="s">
        <v>93</v>
      </c>
      <c r="M22" s="2522" t="s">
        <v>93</v>
      </c>
      <c r="N22" s="2522" t="s">
        <v>93</v>
      </c>
      <c r="O22" s="2522" t="s">
        <v>93</v>
      </c>
      <c r="P22" s="2523" t="s">
        <v>93</v>
      </c>
      <c r="Q22" s="2522" t="s">
        <v>91</v>
      </c>
      <c r="R22" s="2522" t="s">
        <v>92</v>
      </c>
      <c r="S22" s="2522" t="s">
        <v>92</v>
      </c>
      <c r="T22" s="2523" t="s">
        <v>92</v>
      </c>
      <c r="U22" s="2522" t="s">
        <v>92</v>
      </c>
      <c r="V22" s="2522" t="s">
        <v>92</v>
      </c>
      <c r="W22" s="2522" t="s">
        <v>92</v>
      </c>
      <c r="X22" s="2523" t="s">
        <v>91</v>
      </c>
      <c r="Y22" s="2523" t="s">
        <v>91</v>
      </c>
      <c r="Z22" s="2522" t="s">
        <v>93</v>
      </c>
      <c r="AA22" s="2523" t="s">
        <v>93</v>
      </c>
    </row>
    <row r="23" ht="18.75" customHeight="1">
      <c r="A23" s="158"/>
      <c r="B23" s="2804" t="s">
        <v>1289</v>
      </c>
      <c r="C23" s="2805" t="s">
        <v>244</v>
      </c>
      <c r="D23" s="2522" t="s">
        <v>117</v>
      </c>
      <c r="E23" s="2522" t="s">
        <v>92</v>
      </c>
      <c r="F23" s="2522" t="s">
        <v>91</v>
      </c>
      <c r="G23" s="2522" t="s">
        <v>92</v>
      </c>
      <c r="H23" s="2523" t="s">
        <v>91</v>
      </c>
      <c r="I23" s="2534" t="s">
        <v>91</v>
      </c>
      <c r="J23" s="2534" t="s">
        <v>91</v>
      </c>
      <c r="K23" s="2796" t="s">
        <v>92</v>
      </c>
      <c r="L23" s="2534" t="s">
        <v>91</v>
      </c>
      <c r="M23" s="2534" t="s">
        <v>91</v>
      </c>
      <c r="N23" s="2796" t="s">
        <v>92</v>
      </c>
      <c r="O23" s="2534" t="s">
        <v>91</v>
      </c>
      <c r="P23" s="2535" t="s">
        <v>91</v>
      </c>
      <c r="Q23" s="2522" t="s">
        <v>92</v>
      </c>
      <c r="R23" s="2522" t="s">
        <v>92</v>
      </c>
      <c r="S23" s="2522" t="s">
        <v>91</v>
      </c>
      <c r="T23" s="2523" t="s">
        <v>92</v>
      </c>
      <c r="U23" s="2705" t="s">
        <v>118</v>
      </c>
      <c r="V23" s="2705" t="s">
        <v>118</v>
      </c>
      <c r="W23" s="2705" t="s">
        <v>118</v>
      </c>
      <c r="X23" s="2706" t="s">
        <v>118</v>
      </c>
      <c r="Y23" s="2706" t="s">
        <v>118</v>
      </c>
      <c r="Z23" s="2705" t="s">
        <v>118</v>
      </c>
      <c r="AA23" s="2706" t="s">
        <v>118</v>
      </c>
    </row>
    <row r="24" ht="18.75" customHeight="1">
      <c r="A24" s="158"/>
      <c r="B24" s="813"/>
      <c r="C24" s="2806" t="s">
        <v>1362</v>
      </c>
      <c r="D24" s="2522" t="s">
        <v>91</v>
      </c>
      <c r="E24" s="2522" t="s">
        <v>92</v>
      </c>
      <c r="F24" s="2522" t="s">
        <v>91</v>
      </c>
      <c r="G24" s="2522" t="s">
        <v>92</v>
      </c>
      <c r="H24" s="2523" t="s">
        <v>91</v>
      </c>
      <c r="I24" s="2534" t="s">
        <v>91</v>
      </c>
      <c r="J24" s="2534" t="s">
        <v>91</v>
      </c>
      <c r="K24" s="2796" t="s">
        <v>92</v>
      </c>
      <c r="L24" s="2534" t="s">
        <v>91</v>
      </c>
      <c r="M24" s="2534" t="s">
        <v>91</v>
      </c>
      <c r="N24" s="2796" t="s">
        <v>92</v>
      </c>
      <c r="O24" s="2534" t="s">
        <v>91</v>
      </c>
      <c r="P24" s="2535" t="s">
        <v>91</v>
      </c>
      <c r="Q24" s="2522" t="s">
        <v>92</v>
      </c>
      <c r="R24" s="2522" t="s">
        <v>92</v>
      </c>
      <c r="S24" s="2522" t="s">
        <v>91</v>
      </c>
      <c r="T24" s="2523" t="s">
        <v>92</v>
      </c>
      <c r="U24" s="2522" t="s">
        <v>92</v>
      </c>
      <c r="V24" s="2522" t="s">
        <v>91</v>
      </c>
      <c r="W24" s="2522" t="s">
        <v>92</v>
      </c>
      <c r="X24" s="2523" t="s">
        <v>91</v>
      </c>
      <c r="Y24" s="2523" t="s">
        <v>91</v>
      </c>
      <c r="Z24" s="2522" t="s">
        <v>91</v>
      </c>
      <c r="AA24" s="2523" t="s">
        <v>91</v>
      </c>
    </row>
    <row r="25" ht="18.75" customHeight="1">
      <c r="A25" s="158"/>
      <c r="B25" s="813"/>
      <c r="C25" s="2807" t="s">
        <v>1359</v>
      </c>
      <c r="D25" s="2795" t="s">
        <v>118</v>
      </c>
      <c r="E25" s="2705" t="s">
        <v>118</v>
      </c>
      <c r="F25" s="2705" t="s">
        <v>118</v>
      </c>
      <c r="G25" s="2705" t="s">
        <v>118</v>
      </c>
      <c r="H25" s="2706" t="s">
        <v>118</v>
      </c>
      <c r="I25" s="2705" t="s">
        <v>118</v>
      </c>
      <c r="J25" s="2705" t="s">
        <v>118</v>
      </c>
      <c r="K25" s="2705" t="s">
        <v>118</v>
      </c>
      <c r="L25" s="2705" t="s">
        <v>118</v>
      </c>
      <c r="M25" s="2705" t="s">
        <v>118</v>
      </c>
      <c r="N25" s="2705" t="s">
        <v>118</v>
      </c>
      <c r="O25" s="2705" t="s">
        <v>118</v>
      </c>
      <c r="P25" s="2706" t="s">
        <v>118</v>
      </c>
      <c r="Q25" s="2705" t="s">
        <v>118</v>
      </c>
      <c r="R25" s="2705" t="s">
        <v>118</v>
      </c>
      <c r="S25" s="2705" t="s">
        <v>118</v>
      </c>
      <c r="T25" s="2706" t="s">
        <v>118</v>
      </c>
      <c r="U25" s="2522" t="s">
        <v>92</v>
      </c>
      <c r="V25" s="2522" t="s">
        <v>92</v>
      </c>
      <c r="W25" s="2522" t="s">
        <v>91</v>
      </c>
      <c r="X25" s="2523" t="s">
        <v>91</v>
      </c>
      <c r="Y25" s="2523" t="s">
        <v>91</v>
      </c>
      <c r="Z25" s="2522" t="s">
        <v>91</v>
      </c>
      <c r="AA25" s="2523" t="s">
        <v>91</v>
      </c>
    </row>
    <row r="26" ht="18.75" customHeight="1">
      <c r="A26" s="158"/>
      <c r="B26" s="813"/>
      <c r="C26" s="2808" t="s">
        <v>1147</v>
      </c>
      <c r="D26" s="2522" t="s">
        <v>91</v>
      </c>
      <c r="E26" s="2522" t="s">
        <v>92</v>
      </c>
      <c r="F26" s="2522" t="s">
        <v>91</v>
      </c>
      <c r="G26" s="2522" t="s">
        <v>92</v>
      </c>
      <c r="H26" s="2523" t="s">
        <v>91</v>
      </c>
      <c r="I26" s="2522" t="s">
        <v>93</v>
      </c>
      <c r="J26" s="2522" t="s">
        <v>93</v>
      </c>
      <c r="K26" s="2522" t="s">
        <v>93</v>
      </c>
      <c r="L26" s="2522" t="s">
        <v>93</v>
      </c>
      <c r="M26" s="2522" t="s">
        <v>93</v>
      </c>
      <c r="N26" s="2522" t="s">
        <v>93</v>
      </c>
      <c r="O26" s="2522" t="s">
        <v>93</v>
      </c>
      <c r="P26" s="2523" t="s">
        <v>93</v>
      </c>
      <c r="Q26" s="2522" t="s">
        <v>92</v>
      </c>
      <c r="R26" s="2522" t="s">
        <v>92</v>
      </c>
      <c r="S26" s="2522" t="s">
        <v>91</v>
      </c>
      <c r="T26" s="2523" t="s">
        <v>92</v>
      </c>
      <c r="U26" s="2522" t="s">
        <v>93</v>
      </c>
      <c r="V26" s="2522" t="s">
        <v>93</v>
      </c>
      <c r="W26" s="2522" t="s">
        <v>93</v>
      </c>
      <c r="X26" s="2523" t="s">
        <v>93</v>
      </c>
      <c r="Y26" s="2523" t="s">
        <v>91</v>
      </c>
      <c r="Z26" s="2522" t="s">
        <v>91</v>
      </c>
      <c r="AA26" s="2523" t="s">
        <v>91</v>
      </c>
    </row>
    <row r="27" ht="18.75" customHeight="1">
      <c r="A27" s="158"/>
      <c r="B27" s="2809" t="s">
        <v>220</v>
      </c>
      <c r="C27" s="2810" t="s">
        <v>1355</v>
      </c>
      <c r="D27" s="2522" t="s">
        <v>93</v>
      </c>
      <c r="E27" s="2522" t="s">
        <v>93</v>
      </c>
      <c r="F27" s="2522" t="s">
        <v>93</v>
      </c>
      <c r="G27" s="2522" t="s">
        <v>93</v>
      </c>
      <c r="H27" s="2523" t="s">
        <v>93</v>
      </c>
      <c r="I27" s="2705" t="s">
        <v>118</v>
      </c>
      <c r="J27" s="2705" t="s">
        <v>118</v>
      </c>
      <c r="K27" s="2705" t="s">
        <v>118</v>
      </c>
      <c r="L27" s="2705" t="s">
        <v>118</v>
      </c>
      <c r="M27" s="2705" t="s">
        <v>118</v>
      </c>
      <c r="N27" s="2705" t="s">
        <v>118</v>
      </c>
      <c r="O27" s="2705" t="s">
        <v>118</v>
      </c>
      <c r="P27" s="2706" t="s">
        <v>118</v>
      </c>
      <c r="Q27" s="2705" t="s">
        <v>118</v>
      </c>
      <c r="R27" s="2705" t="s">
        <v>118</v>
      </c>
      <c r="S27" s="2705" t="s">
        <v>118</v>
      </c>
      <c r="T27" s="2706" t="s">
        <v>118</v>
      </c>
      <c r="U27" s="2705" t="s">
        <v>118</v>
      </c>
      <c r="V27" s="2705" t="s">
        <v>118</v>
      </c>
      <c r="W27" s="2705" t="s">
        <v>118</v>
      </c>
      <c r="X27" s="2706" t="s">
        <v>118</v>
      </c>
      <c r="Y27" s="2706" t="s">
        <v>118</v>
      </c>
      <c r="Z27" s="2705" t="s">
        <v>118</v>
      </c>
      <c r="AA27" s="2706" t="s">
        <v>118</v>
      </c>
    </row>
    <row r="28" ht="18.75" customHeight="1">
      <c r="A28" s="168"/>
      <c r="B28" s="168"/>
      <c r="C28" s="2811" t="s">
        <v>1142</v>
      </c>
      <c r="D28" s="2812" t="s">
        <v>118</v>
      </c>
      <c r="E28" s="2812" t="s">
        <v>118</v>
      </c>
      <c r="F28" s="2812" t="s">
        <v>118</v>
      </c>
      <c r="G28" s="2812" t="s">
        <v>118</v>
      </c>
      <c r="H28" s="2813" t="s">
        <v>118</v>
      </c>
      <c r="I28" s="2534" t="s">
        <v>91</v>
      </c>
      <c r="J28" s="2534" t="s">
        <v>91</v>
      </c>
      <c r="K28" s="2796" t="s">
        <v>92</v>
      </c>
      <c r="L28" s="2534" t="s">
        <v>91</v>
      </c>
      <c r="M28" s="2534" t="s">
        <v>91</v>
      </c>
      <c r="N28" s="2534" t="s">
        <v>91</v>
      </c>
      <c r="O28" s="2796" t="s">
        <v>92</v>
      </c>
      <c r="P28" s="2535" t="s">
        <v>91</v>
      </c>
      <c r="Q28" s="2522" t="s">
        <v>91</v>
      </c>
      <c r="R28" s="2522" t="s">
        <v>91</v>
      </c>
      <c r="S28" s="2522" t="s">
        <v>91</v>
      </c>
      <c r="T28" s="2523" t="s">
        <v>92</v>
      </c>
      <c r="U28" s="2522" t="s">
        <v>92</v>
      </c>
      <c r="V28" s="2522" t="s">
        <v>92</v>
      </c>
      <c r="W28" s="2522" t="s">
        <v>91</v>
      </c>
      <c r="X28" s="2523" t="s">
        <v>91</v>
      </c>
      <c r="Y28" s="2523" t="s">
        <v>91</v>
      </c>
      <c r="Z28" s="2522" t="s">
        <v>91</v>
      </c>
      <c r="AA28" s="2523" t="s">
        <v>91</v>
      </c>
    </row>
    <row r="29" ht="9.75" customHeight="1">
      <c r="A29" s="2553"/>
      <c r="B29" s="2554"/>
      <c r="C29" s="2814"/>
      <c r="D29" s="2815" t="str">
        <f t="shared" ref="D29:AA29" si="1">LINKURL(D5)</f>
        <v>https://www.reddit.com/r/RMTK/comments/aipqmi/</v>
      </c>
      <c r="E29" s="2816" t="str">
        <f t="shared" si="1"/>
        <v>https://www.reddit.com/r/RMTK/comments/aiq3cp/</v>
      </c>
      <c r="F29" s="2816" t="str">
        <f t="shared" si="1"/>
        <v>https://www.reddit.com/r/RMTK/comments/aj2ow8/</v>
      </c>
      <c r="G29" s="2816" t="str">
        <f t="shared" si="1"/>
        <v>https://www.reddit.com/r/RMTK/comments/ajf9vj/</v>
      </c>
      <c r="H29" s="2817" t="str">
        <f t="shared" si="1"/>
        <v>https://www.reddit.com/r/RMTK/comments/ajfndl/</v>
      </c>
      <c r="I29" s="2770" t="str">
        <f t="shared" si="1"/>
        <v>https://www.reddit.com/r/RMTK/comments/akqcw6</v>
      </c>
      <c r="J29" s="2816" t="str">
        <f t="shared" si="1"/>
        <v>https://www.reddit.com/r/RMTK/comments/al2x7m/</v>
      </c>
      <c r="K29" s="2770" t="str">
        <f t="shared" si="1"/>
        <v>https://www.reddit.com/r/RMTK/comments/aleh5w/</v>
      </c>
      <c r="L29" s="2770" t="str">
        <f t="shared" si="1"/>
        <v>https://www.reddit.com/r/RMTK/comments/alfjq1/</v>
      </c>
      <c r="M29" s="2770" t="str">
        <f t="shared" si="1"/>
        <v>https://www.reddit.com/r/RMTK/comments/alrx3g/</v>
      </c>
      <c r="N29" s="2770" t="str">
        <f t="shared" si="1"/>
        <v>https://www.reddit.com/r/RMTK/comments/alskg2/</v>
      </c>
      <c r="O29" s="2770" t="str">
        <f t="shared" si="1"/>
        <v>https://www.reddit.com/r/RMTK/comments/a9np8r/</v>
      </c>
      <c r="P29" s="2645" t="str">
        <f t="shared" si="1"/>
        <v>https://www.reddit.com/r/RMTK/comments/adxbtn/</v>
      </c>
      <c r="Q29" s="2770" t="str">
        <f t="shared" si="1"/>
        <v>https://www.reddit.com/r/RMTK/comments/an3yg1</v>
      </c>
      <c r="R29" s="2770" t="str">
        <f t="shared" si="1"/>
        <v>https://www.reddit.com/r/RMTK/comments/an4pf6/</v>
      </c>
      <c r="S29" s="2770" t="str">
        <f t="shared" si="1"/>
        <v>https://www.reddit.com/r/RMTK/comments/ansc9j/</v>
      </c>
      <c r="T29" s="2645" t="str">
        <f t="shared" si="1"/>
        <v>https://www.reddit.com/r/RMTK/comments/ao8cgj/</v>
      </c>
      <c r="U29" s="2770" t="str">
        <f t="shared" si="1"/>
        <v>https://www.reddit.com/r/RMTK/comments/apk0kw/</v>
      </c>
      <c r="V29" s="2770" t="str">
        <f t="shared" si="1"/>
        <v>https://www.reddit.com/r/RMTK/comments/aqngvk/</v>
      </c>
      <c r="W29" s="2770" t="str">
        <f t="shared" si="1"/>
        <v>https://www.reddit.com/r/RMTK/comments/aqnnru/</v>
      </c>
      <c r="X29" s="2645" t="str">
        <f t="shared" si="1"/>
        <v>https://www.reddit.com/r/RMTK/comments/apwpjm/</v>
      </c>
      <c r="Y29" s="2645" t="str">
        <f t="shared" si="1"/>
        <v>https://www.reddit.com/r/RMTK/comments/asennu/</v>
      </c>
      <c r="Z29" s="2770" t="str">
        <f t="shared" si="1"/>
        <v>https://www.reddit.com/r/RMTK/comments/av3xoy/</v>
      </c>
      <c r="AA29" s="2770" t="str">
        <f t="shared" si="1"/>
        <v>https://www.reddit.com/r/RMTK/comments/avu0ir/</v>
      </c>
    </row>
    <row r="30" ht="18.75" customHeight="1">
      <c r="A30" s="2560" t="s">
        <v>1954</v>
      </c>
      <c r="B30" s="2520" t="s">
        <v>31</v>
      </c>
      <c r="C30" s="2818" t="s">
        <v>111</v>
      </c>
      <c r="D30" s="2522" t="s">
        <v>91</v>
      </c>
      <c r="E30" s="2522" t="s">
        <v>92</v>
      </c>
      <c r="F30" s="2522" t="s">
        <v>92</v>
      </c>
      <c r="G30" s="2522" t="s">
        <v>91</v>
      </c>
      <c r="H30" s="2523" t="s">
        <v>91</v>
      </c>
      <c r="I30" s="2522" t="s">
        <v>92</v>
      </c>
      <c r="J30" s="2522" t="s">
        <v>91</v>
      </c>
      <c r="K30" s="2522" t="s">
        <v>91</v>
      </c>
      <c r="L30" s="2522" t="s">
        <v>91</v>
      </c>
      <c r="M30" s="2522" t="s">
        <v>91</v>
      </c>
      <c r="N30" s="2522" t="s">
        <v>91</v>
      </c>
      <c r="O30" s="2522" t="s">
        <v>91</v>
      </c>
      <c r="P30" s="2523" t="s">
        <v>91</v>
      </c>
      <c r="Q30" s="2522" t="s">
        <v>91</v>
      </c>
      <c r="R30" s="2522" t="s">
        <v>91</v>
      </c>
      <c r="S30" s="2522" t="s">
        <v>91</v>
      </c>
      <c r="T30" s="2523" t="s">
        <v>91</v>
      </c>
      <c r="U30" s="2522" t="s">
        <v>91</v>
      </c>
      <c r="V30" s="2522" t="s">
        <v>91</v>
      </c>
      <c r="W30" s="2522" t="s">
        <v>92</v>
      </c>
      <c r="X30" s="2523" t="s">
        <v>91</v>
      </c>
      <c r="Y30" s="2523" t="s">
        <v>91</v>
      </c>
      <c r="Z30" s="2522" t="s">
        <v>92</v>
      </c>
      <c r="AA30" s="2523" t="s">
        <v>91</v>
      </c>
    </row>
    <row r="31" ht="18.75" customHeight="1">
      <c r="A31" s="158"/>
      <c r="B31" s="813"/>
      <c r="C31" s="2819" t="s">
        <v>1347</v>
      </c>
      <c r="D31" s="2522" t="s">
        <v>91</v>
      </c>
      <c r="E31" s="2522" t="s">
        <v>92</v>
      </c>
      <c r="F31" s="2522" t="s">
        <v>92</v>
      </c>
      <c r="G31" s="2522" t="s">
        <v>91</v>
      </c>
      <c r="H31" s="2523" t="s">
        <v>91</v>
      </c>
      <c r="I31" s="2522" t="s">
        <v>117</v>
      </c>
      <c r="J31" s="2522" t="s">
        <v>91</v>
      </c>
      <c r="K31" s="2522" t="s">
        <v>91</v>
      </c>
      <c r="L31" s="2522" t="s">
        <v>91</v>
      </c>
      <c r="M31" s="2522" t="s">
        <v>91</v>
      </c>
      <c r="N31" s="2522" t="s">
        <v>91</v>
      </c>
      <c r="O31" s="2522" t="s">
        <v>91</v>
      </c>
      <c r="P31" s="2523" t="s">
        <v>91</v>
      </c>
      <c r="Q31" s="2522" t="s">
        <v>91</v>
      </c>
      <c r="R31" s="2522" t="s">
        <v>91</v>
      </c>
      <c r="S31" s="2522" t="s">
        <v>91</v>
      </c>
      <c r="T31" s="2523" t="s">
        <v>91</v>
      </c>
      <c r="U31" s="2522" t="s">
        <v>91</v>
      </c>
      <c r="V31" s="2522" t="s">
        <v>91</v>
      </c>
      <c r="W31" s="2522" t="s">
        <v>92</v>
      </c>
      <c r="X31" s="2523" t="s">
        <v>91</v>
      </c>
      <c r="Y31" s="2523" t="s">
        <v>91</v>
      </c>
      <c r="Z31" s="2522" t="s">
        <v>92</v>
      </c>
      <c r="AA31" s="2523" t="s">
        <v>91</v>
      </c>
    </row>
    <row r="32" ht="18.75" customHeight="1">
      <c r="A32" s="158"/>
      <c r="B32" s="813"/>
      <c r="C32" s="2819" t="s">
        <v>282</v>
      </c>
      <c r="D32" s="2522" t="s">
        <v>91</v>
      </c>
      <c r="E32" s="2522" t="s">
        <v>92</v>
      </c>
      <c r="F32" s="2522" t="s">
        <v>92</v>
      </c>
      <c r="G32" s="2522" t="s">
        <v>91</v>
      </c>
      <c r="H32" s="2523" t="s">
        <v>92</v>
      </c>
      <c r="I32" s="2522" t="s">
        <v>117</v>
      </c>
      <c r="J32" s="2522" t="s">
        <v>91</v>
      </c>
      <c r="K32" s="2522" t="s">
        <v>91</v>
      </c>
      <c r="L32" s="2522" t="s">
        <v>91</v>
      </c>
      <c r="M32" s="2522" t="s">
        <v>91</v>
      </c>
      <c r="N32" s="2522" t="s">
        <v>91</v>
      </c>
      <c r="O32" s="2522" t="s">
        <v>91</v>
      </c>
      <c r="P32" s="2523" t="s">
        <v>91</v>
      </c>
      <c r="Q32" s="2522" t="s">
        <v>91</v>
      </c>
      <c r="R32" s="2522" t="s">
        <v>91</v>
      </c>
      <c r="S32" s="2522" t="s">
        <v>91</v>
      </c>
      <c r="T32" s="2523" t="s">
        <v>91</v>
      </c>
      <c r="U32" s="2522" t="s">
        <v>91</v>
      </c>
      <c r="V32" s="2522" t="s">
        <v>91</v>
      </c>
      <c r="W32" s="2522" t="s">
        <v>92</v>
      </c>
      <c r="X32" s="2523" t="s">
        <v>91</v>
      </c>
      <c r="Y32" s="2523" t="s">
        <v>91</v>
      </c>
      <c r="Z32" s="2522" t="s">
        <v>92</v>
      </c>
      <c r="AA32" s="2523" t="s">
        <v>91</v>
      </c>
    </row>
    <row r="33" ht="18.75" customHeight="1">
      <c r="A33" s="158"/>
      <c r="B33" s="968"/>
      <c r="C33" s="2819" t="s">
        <v>16</v>
      </c>
      <c r="D33" s="2522" t="s">
        <v>91</v>
      </c>
      <c r="E33" s="2522" t="s">
        <v>91</v>
      </c>
      <c r="F33" s="2522" t="s">
        <v>92</v>
      </c>
      <c r="G33" s="2522" t="s">
        <v>91</v>
      </c>
      <c r="H33" s="2523" t="s">
        <v>91</v>
      </c>
      <c r="I33" s="2522" t="s">
        <v>92</v>
      </c>
      <c r="J33" s="2522" t="s">
        <v>91</v>
      </c>
      <c r="K33" s="2522" t="s">
        <v>91</v>
      </c>
      <c r="L33" s="2522" t="s">
        <v>91</v>
      </c>
      <c r="M33" s="2522" t="s">
        <v>91</v>
      </c>
      <c r="N33" s="2522" t="s">
        <v>91</v>
      </c>
      <c r="O33" s="2522" t="s">
        <v>91</v>
      </c>
      <c r="P33" s="2523" t="s">
        <v>91</v>
      </c>
      <c r="Q33" s="2522" t="s">
        <v>91</v>
      </c>
      <c r="R33" s="2522" t="s">
        <v>91</v>
      </c>
      <c r="S33" s="2522" t="s">
        <v>91</v>
      </c>
      <c r="T33" s="2523" t="s">
        <v>91</v>
      </c>
      <c r="U33" s="2522" t="s">
        <v>91</v>
      </c>
      <c r="V33" s="2522" t="s">
        <v>91</v>
      </c>
      <c r="W33" s="2522" t="s">
        <v>92</v>
      </c>
      <c r="X33" s="2523" t="s">
        <v>91</v>
      </c>
      <c r="Y33" s="2523" t="s">
        <v>91</v>
      </c>
      <c r="Z33" s="2522" t="s">
        <v>92</v>
      </c>
      <c r="AA33" s="2523" t="s">
        <v>91</v>
      </c>
    </row>
    <row r="34" ht="18.75" customHeight="1">
      <c r="A34" s="158"/>
      <c r="B34" s="2820" t="s">
        <v>169</v>
      </c>
      <c r="C34" s="2821" t="s">
        <v>195</v>
      </c>
      <c r="D34" s="2522" t="s">
        <v>91</v>
      </c>
      <c r="E34" s="2522" t="s">
        <v>92</v>
      </c>
      <c r="F34" s="2522" t="s">
        <v>91</v>
      </c>
      <c r="G34" s="2522" t="s">
        <v>92</v>
      </c>
      <c r="H34" s="2523" t="s">
        <v>91</v>
      </c>
      <c r="I34" s="2522" t="s">
        <v>93</v>
      </c>
      <c r="J34" s="2522" t="s">
        <v>93</v>
      </c>
      <c r="K34" s="2522" t="s">
        <v>93</v>
      </c>
      <c r="L34" s="2522" t="s">
        <v>93</v>
      </c>
      <c r="M34" s="2522" t="s">
        <v>93</v>
      </c>
      <c r="N34" s="2522" t="s">
        <v>93</v>
      </c>
      <c r="O34" s="2522" t="s">
        <v>93</v>
      </c>
      <c r="P34" s="2523" t="s">
        <v>93</v>
      </c>
      <c r="Q34" s="2522" t="s">
        <v>92</v>
      </c>
      <c r="R34" s="2522" t="s">
        <v>92</v>
      </c>
      <c r="S34" s="2522" t="s">
        <v>92</v>
      </c>
      <c r="T34" s="2523" t="s">
        <v>92</v>
      </c>
      <c r="U34" s="2522" t="s">
        <v>93</v>
      </c>
      <c r="V34" s="2522" t="s">
        <v>93</v>
      </c>
      <c r="W34" s="2522" t="s">
        <v>93</v>
      </c>
      <c r="X34" s="2523" t="s">
        <v>93</v>
      </c>
      <c r="Y34" s="2523" t="s">
        <v>93</v>
      </c>
      <c r="Z34" s="2522" t="s">
        <v>91</v>
      </c>
      <c r="AA34" s="2523" t="s">
        <v>91</v>
      </c>
    </row>
    <row r="35" ht="18.75" customHeight="1">
      <c r="A35" s="158"/>
      <c r="B35" s="813"/>
      <c r="C35" s="2822" t="s">
        <v>1364</v>
      </c>
      <c r="D35" s="2522" t="s">
        <v>91</v>
      </c>
      <c r="E35" s="2522" t="s">
        <v>92</v>
      </c>
      <c r="F35" s="2522" t="s">
        <v>91</v>
      </c>
      <c r="G35" s="2522" t="s">
        <v>92</v>
      </c>
      <c r="H35" s="2523" t="s">
        <v>91</v>
      </c>
      <c r="I35" s="2522" t="s">
        <v>93</v>
      </c>
      <c r="J35" s="2522" t="s">
        <v>93</v>
      </c>
      <c r="K35" s="2522" t="s">
        <v>93</v>
      </c>
      <c r="L35" s="2522" t="s">
        <v>93</v>
      </c>
      <c r="M35" s="2522" t="s">
        <v>93</v>
      </c>
      <c r="N35" s="2522" t="s">
        <v>93</v>
      </c>
      <c r="O35" s="2522" t="s">
        <v>93</v>
      </c>
      <c r="P35" s="2523" t="s">
        <v>93</v>
      </c>
      <c r="Q35" s="2522" t="s">
        <v>92</v>
      </c>
      <c r="R35" s="2522" t="s">
        <v>92</v>
      </c>
      <c r="S35" s="2522" t="s">
        <v>92</v>
      </c>
      <c r="T35" s="2523" t="s">
        <v>92</v>
      </c>
      <c r="U35" s="2522" t="s">
        <v>93</v>
      </c>
      <c r="V35" s="2522" t="s">
        <v>93</v>
      </c>
      <c r="W35" s="2522" t="s">
        <v>93</v>
      </c>
      <c r="X35" s="2523" t="s">
        <v>93</v>
      </c>
      <c r="Y35" s="2523" t="s">
        <v>93</v>
      </c>
      <c r="Z35" s="2522" t="s">
        <v>93</v>
      </c>
      <c r="AA35" s="2523" t="s">
        <v>93</v>
      </c>
    </row>
    <row r="36" ht="18.75" customHeight="1">
      <c r="A36" s="158"/>
      <c r="B36" s="968"/>
      <c r="C36" s="2822" t="s">
        <v>308</v>
      </c>
      <c r="D36" s="2522" t="s">
        <v>93</v>
      </c>
      <c r="E36" s="2522" t="s">
        <v>93</v>
      </c>
      <c r="F36" s="2522" t="s">
        <v>93</v>
      </c>
      <c r="G36" s="2522" t="s">
        <v>93</v>
      </c>
      <c r="H36" s="2523" t="s">
        <v>93</v>
      </c>
      <c r="I36" s="2522" t="s">
        <v>93</v>
      </c>
      <c r="J36" s="2522" t="s">
        <v>93</v>
      </c>
      <c r="K36" s="2522" t="s">
        <v>93</v>
      </c>
      <c r="L36" s="2522" t="s">
        <v>93</v>
      </c>
      <c r="M36" s="2522" t="s">
        <v>93</v>
      </c>
      <c r="N36" s="2522" t="s">
        <v>93</v>
      </c>
      <c r="O36" s="2522" t="s">
        <v>93</v>
      </c>
      <c r="P36" s="2523" t="s">
        <v>93</v>
      </c>
      <c r="Q36" s="2522" t="s">
        <v>92</v>
      </c>
      <c r="R36" s="2522" t="s">
        <v>92</v>
      </c>
      <c r="S36" s="2522" t="s">
        <v>92</v>
      </c>
      <c r="T36" s="2523" t="s">
        <v>92</v>
      </c>
      <c r="U36" s="2522" t="s">
        <v>91</v>
      </c>
      <c r="V36" s="2522" t="s">
        <v>92</v>
      </c>
      <c r="W36" s="2522" t="s">
        <v>91</v>
      </c>
      <c r="X36" s="2523" t="s">
        <v>91</v>
      </c>
      <c r="Y36" s="2523" t="s">
        <v>91</v>
      </c>
      <c r="Z36" s="2522" t="s">
        <v>93</v>
      </c>
      <c r="AA36" s="2523" t="s">
        <v>93</v>
      </c>
    </row>
    <row r="37" ht="18.75" customHeight="1">
      <c r="A37" s="158"/>
      <c r="B37" s="2823" t="s">
        <v>228</v>
      </c>
      <c r="C37" s="2824" t="s">
        <v>1150</v>
      </c>
      <c r="D37" s="2522" t="s">
        <v>92</v>
      </c>
      <c r="E37" s="2522" t="s">
        <v>92</v>
      </c>
      <c r="F37" s="2522" t="s">
        <v>92</v>
      </c>
      <c r="G37" s="2522" t="s">
        <v>92</v>
      </c>
      <c r="H37" s="2523" t="s">
        <v>92</v>
      </c>
      <c r="I37" s="2522" t="s">
        <v>92</v>
      </c>
      <c r="J37" s="2522" t="s">
        <v>92</v>
      </c>
      <c r="K37" s="2522" t="s">
        <v>92</v>
      </c>
      <c r="L37" s="2522" t="s">
        <v>92</v>
      </c>
      <c r="M37" s="2522" t="s">
        <v>92</v>
      </c>
      <c r="N37" s="2522" t="s">
        <v>92</v>
      </c>
      <c r="O37" s="2522" t="s">
        <v>92</v>
      </c>
      <c r="P37" s="2523" t="s">
        <v>92</v>
      </c>
      <c r="Q37" s="2522" t="s">
        <v>93</v>
      </c>
      <c r="R37" s="2522" t="s">
        <v>93</v>
      </c>
      <c r="S37" s="2522" t="s">
        <v>93</v>
      </c>
      <c r="T37" s="2523" t="s">
        <v>93</v>
      </c>
      <c r="U37" s="2522" t="s">
        <v>93</v>
      </c>
      <c r="V37" s="2522" t="s">
        <v>93</v>
      </c>
      <c r="W37" s="2522" t="s">
        <v>93</v>
      </c>
      <c r="X37" s="2523" t="s">
        <v>93</v>
      </c>
      <c r="Y37" s="2523" t="s">
        <v>93</v>
      </c>
      <c r="Z37" s="2522" t="s">
        <v>93</v>
      </c>
      <c r="AA37" s="2523" t="s">
        <v>93</v>
      </c>
    </row>
    <row r="38" ht="18.75" customHeight="1">
      <c r="A38" s="158"/>
      <c r="B38" s="813"/>
      <c r="C38" s="2825" t="s">
        <v>229</v>
      </c>
      <c r="D38" s="2522" t="s">
        <v>92</v>
      </c>
      <c r="E38" s="2522" t="s">
        <v>92</v>
      </c>
      <c r="F38" s="2522" t="s">
        <v>92</v>
      </c>
      <c r="G38" s="2522" t="s">
        <v>92</v>
      </c>
      <c r="H38" s="2523" t="s">
        <v>92</v>
      </c>
      <c r="I38" s="2522" t="s">
        <v>92</v>
      </c>
      <c r="J38" s="2522" t="s">
        <v>92</v>
      </c>
      <c r="K38" s="2522" t="s">
        <v>92</v>
      </c>
      <c r="L38" s="2522" t="s">
        <v>92</v>
      </c>
      <c r="M38" s="2522" t="s">
        <v>92</v>
      </c>
      <c r="N38" s="2522" t="s">
        <v>92</v>
      </c>
      <c r="O38" s="2522" t="s">
        <v>92</v>
      </c>
      <c r="P38" s="2523" t="s">
        <v>92</v>
      </c>
      <c r="Q38" s="2522" t="s">
        <v>92</v>
      </c>
      <c r="R38" s="2522" t="s">
        <v>92</v>
      </c>
      <c r="S38" s="2522" t="s">
        <v>91</v>
      </c>
      <c r="T38" s="2523" t="s">
        <v>92</v>
      </c>
      <c r="U38" s="2522" t="s">
        <v>93</v>
      </c>
      <c r="V38" s="2522" t="s">
        <v>93</v>
      </c>
      <c r="W38" s="2522" t="s">
        <v>93</v>
      </c>
      <c r="X38" s="2523" t="s">
        <v>93</v>
      </c>
      <c r="Y38" s="2523" t="s">
        <v>91</v>
      </c>
      <c r="Z38" s="2522" t="s">
        <v>92</v>
      </c>
      <c r="AA38" s="2522" t="s">
        <v>92</v>
      </c>
    </row>
    <row r="39" ht="18.75" customHeight="1">
      <c r="A39" s="158"/>
      <c r="B39" s="968"/>
      <c r="C39" s="2825" t="s">
        <v>1370</v>
      </c>
      <c r="D39" s="2522" t="s">
        <v>93</v>
      </c>
      <c r="E39" s="2522" t="s">
        <v>93</v>
      </c>
      <c r="F39" s="2522" t="s">
        <v>93</v>
      </c>
      <c r="G39" s="2522" t="s">
        <v>93</v>
      </c>
      <c r="H39" s="2523" t="s">
        <v>93</v>
      </c>
      <c r="I39" s="2522" t="s">
        <v>93</v>
      </c>
      <c r="J39" s="2522" t="s">
        <v>93</v>
      </c>
      <c r="K39" s="2522" t="s">
        <v>93</v>
      </c>
      <c r="L39" s="2522" t="s">
        <v>93</v>
      </c>
      <c r="M39" s="2522" t="s">
        <v>93</v>
      </c>
      <c r="N39" s="2522" t="s">
        <v>93</v>
      </c>
      <c r="O39" s="2522" t="s">
        <v>93</v>
      </c>
      <c r="P39" s="2523" t="s">
        <v>93</v>
      </c>
      <c r="Q39" s="2522" t="s">
        <v>93</v>
      </c>
      <c r="R39" s="2522" t="s">
        <v>93</v>
      </c>
      <c r="S39" s="2522" t="s">
        <v>93</v>
      </c>
      <c r="T39" s="2523" t="s">
        <v>93</v>
      </c>
      <c r="U39" s="2522" t="s">
        <v>91</v>
      </c>
      <c r="V39" s="2522" t="s">
        <v>92</v>
      </c>
      <c r="W39" s="2522" t="s">
        <v>92</v>
      </c>
      <c r="X39" s="2523" t="s">
        <v>92</v>
      </c>
      <c r="Y39" s="2523" t="s">
        <v>91</v>
      </c>
      <c r="Z39" s="2522" t="s">
        <v>93</v>
      </c>
      <c r="AA39" s="2523" t="s">
        <v>93</v>
      </c>
    </row>
    <row r="40" ht="18.75" customHeight="1">
      <c r="A40" s="158"/>
      <c r="B40" s="2826" t="s">
        <v>234</v>
      </c>
      <c r="C40" s="2827" t="s">
        <v>1249</v>
      </c>
      <c r="D40" s="2522" t="s">
        <v>93</v>
      </c>
      <c r="E40" s="2522" t="s">
        <v>93</v>
      </c>
      <c r="F40" s="2522" t="s">
        <v>93</v>
      </c>
      <c r="G40" s="2522" t="s">
        <v>93</v>
      </c>
      <c r="H40" s="2523" t="s">
        <v>93</v>
      </c>
      <c r="I40" s="2522" t="s">
        <v>93</v>
      </c>
      <c r="J40" s="2522" t="s">
        <v>93</v>
      </c>
      <c r="K40" s="2522" t="s">
        <v>93</v>
      </c>
      <c r="L40" s="2522" t="s">
        <v>93</v>
      </c>
      <c r="M40" s="2522" t="s">
        <v>93</v>
      </c>
      <c r="N40" s="2522" t="s">
        <v>93</v>
      </c>
      <c r="O40" s="2522" t="s">
        <v>93</v>
      </c>
      <c r="P40" s="2523" t="s">
        <v>93</v>
      </c>
      <c r="Q40" s="2522" t="s">
        <v>93</v>
      </c>
      <c r="R40" s="2522" t="s">
        <v>93</v>
      </c>
      <c r="S40" s="2522" t="s">
        <v>93</v>
      </c>
      <c r="T40" s="2523" t="s">
        <v>93</v>
      </c>
      <c r="U40" s="2522" t="s">
        <v>91</v>
      </c>
      <c r="V40" s="2522" t="s">
        <v>92</v>
      </c>
      <c r="W40" s="2522" t="s">
        <v>91</v>
      </c>
      <c r="X40" s="2523" t="s">
        <v>92</v>
      </c>
      <c r="Y40" s="2523" t="s">
        <v>91</v>
      </c>
      <c r="Z40" s="2522" t="s">
        <v>91</v>
      </c>
      <c r="AA40" s="2523" t="s">
        <v>91</v>
      </c>
    </row>
    <row r="41" ht="18.75" customHeight="1">
      <c r="A41" s="158"/>
      <c r="B41" s="813"/>
      <c r="C41" s="2828" t="s">
        <v>1375</v>
      </c>
      <c r="D41" s="2522" t="s">
        <v>93</v>
      </c>
      <c r="E41" s="2522" t="s">
        <v>93</v>
      </c>
      <c r="F41" s="2522" t="s">
        <v>93</v>
      </c>
      <c r="G41" s="2522" t="s">
        <v>93</v>
      </c>
      <c r="H41" s="2523" t="s">
        <v>93</v>
      </c>
      <c r="I41" s="2522" t="s">
        <v>93</v>
      </c>
      <c r="J41" s="2522" t="s">
        <v>93</v>
      </c>
      <c r="K41" s="2522" t="s">
        <v>93</v>
      </c>
      <c r="L41" s="2522" t="s">
        <v>93</v>
      </c>
      <c r="M41" s="2522" t="s">
        <v>93</v>
      </c>
      <c r="N41" s="2522" t="s">
        <v>93</v>
      </c>
      <c r="O41" s="2522" t="s">
        <v>93</v>
      </c>
      <c r="P41" s="2523" t="s">
        <v>93</v>
      </c>
      <c r="Q41" s="2522" t="s">
        <v>93</v>
      </c>
      <c r="R41" s="2522" t="s">
        <v>93</v>
      </c>
      <c r="S41" s="2522" t="s">
        <v>93</v>
      </c>
      <c r="T41" s="2523" t="s">
        <v>93</v>
      </c>
      <c r="U41" s="2522" t="s">
        <v>91</v>
      </c>
      <c r="V41" s="2522" t="s">
        <v>91</v>
      </c>
      <c r="W41" s="2522" t="s">
        <v>91</v>
      </c>
      <c r="X41" s="2523" t="s">
        <v>92</v>
      </c>
      <c r="Y41" s="2523" t="s">
        <v>93</v>
      </c>
      <c r="Z41" s="2522" t="s">
        <v>93</v>
      </c>
      <c r="AA41" s="2523" t="s">
        <v>93</v>
      </c>
    </row>
    <row r="42" ht="18.75" customHeight="1">
      <c r="A42" s="158"/>
      <c r="B42" s="968"/>
      <c r="C42" s="2829" t="s">
        <v>1378</v>
      </c>
      <c r="D42" s="2522" t="s">
        <v>92</v>
      </c>
      <c r="E42" s="2522" t="s">
        <v>92</v>
      </c>
      <c r="F42" s="2522" t="s">
        <v>92</v>
      </c>
      <c r="G42" s="2522" t="s">
        <v>92</v>
      </c>
      <c r="H42" s="2523" t="s">
        <v>92</v>
      </c>
      <c r="I42" s="2522" t="s">
        <v>93</v>
      </c>
      <c r="J42" s="2522" t="s">
        <v>93</v>
      </c>
      <c r="K42" s="2522" t="s">
        <v>93</v>
      </c>
      <c r="L42" s="2522" t="s">
        <v>93</v>
      </c>
      <c r="M42" s="2522" t="s">
        <v>93</v>
      </c>
      <c r="N42" s="2522" t="s">
        <v>93</v>
      </c>
      <c r="O42" s="2522" t="s">
        <v>93</v>
      </c>
      <c r="P42" s="2523" t="s">
        <v>93</v>
      </c>
      <c r="Q42" s="2522" t="s">
        <v>92</v>
      </c>
      <c r="R42" s="2522" t="s">
        <v>92</v>
      </c>
      <c r="S42" s="2522" t="s">
        <v>92</v>
      </c>
      <c r="T42" s="2523" t="s">
        <v>92</v>
      </c>
      <c r="U42" s="2522" t="s">
        <v>91</v>
      </c>
      <c r="V42" s="2522" t="s">
        <v>117</v>
      </c>
      <c r="W42" s="2522" t="s">
        <v>92</v>
      </c>
      <c r="X42" s="2523" t="s">
        <v>92</v>
      </c>
      <c r="Y42" s="2523" t="s">
        <v>91</v>
      </c>
      <c r="Z42" s="2522" t="s">
        <v>93</v>
      </c>
      <c r="AA42" s="2523" t="s">
        <v>93</v>
      </c>
    </row>
    <row r="43" ht="18.75" customHeight="1">
      <c r="A43" s="158"/>
      <c r="B43" s="2830" t="s">
        <v>1303</v>
      </c>
      <c r="C43" s="2831" t="s">
        <v>1304</v>
      </c>
      <c r="D43" s="2522" t="s">
        <v>91</v>
      </c>
      <c r="E43" s="2522" t="s">
        <v>91</v>
      </c>
      <c r="F43" s="2522" t="s">
        <v>91</v>
      </c>
      <c r="G43" s="2522" t="s">
        <v>91</v>
      </c>
      <c r="H43" s="2523" t="s">
        <v>91</v>
      </c>
      <c r="I43" s="2522" t="s">
        <v>91</v>
      </c>
      <c r="J43" s="2522" t="s">
        <v>91</v>
      </c>
      <c r="K43" s="2522" t="s">
        <v>91</v>
      </c>
      <c r="L43" s="2522" t="s">
        <v>91</v>
      </c>
      <c r="M43" s="2522" t="s">
        <v>91</v>
      </c>
      <c r="N43" s="2522" t="s">
        <v>91</v>
      </c>
      <c r="O43" s="2522" t="s">
        <v>92</v>
      </c>
      <c r="P43" s="2523" t="s">
        <v>91</v>
      </c>
      <c r="Q43" s="2522" t="s">
        <v>91</v>
      </c>
      <c r="R43" s="2522" t="s">
        <v>91</v>
      </c>
      <c r="S43" s="2522" t="s">
        <v>92</v>
      </c>
      <c r="T43" s="2523" t="s">
        <v>91</v>
      </c>
      <c r="U43" s="2522" t="s">
        <v>91</v>
      </c>
      <c r="V43" s="2522" t="s">
        <v>91</v>
      </c>
      <c r="W43" s="2522" t="s">
        <v>91</v>
      </c>
      <c r="X43" s="2523" t="s">
        <v>91</v>
      </c>
      <c r="Y43" s="2523" t="s">
        <v>93</v>
      </c>
      <c r="Z43" s="2522" t="s">
        <v>93</v>
      </c>
      <c r="AA43" s="2523" t="s">
        <v>93</v>
      </c>
    </row>
    <row r="44" ht="18.75" customHeight="1">
      <c r="A44" s="158"/>
      <c r="B44" s="968"/>
      <c r="C44" s="2832" t="s">
        <v>1380</v>
      </c>
      <c r="D44" s="2522" t="s">
        <v>93</v>
      </c>
      <c r="E44" s="2522" t="s">
        <v>93</v>
      </c>
      <c r="F44" s="2522" t="s">
        <v>93</v>
      </c>
      <c r="G44" s="2522" t="s">
        <v>93</v>
      </c>
      <c r="H44" s="2523" t="s">
        <v>93</v>
      </c>
      <c r="I44" s="2522" t="s">
        <v>93</v>
      </c>
      <c r="J44" s="2522" t="s">
        <v>93</v>
      </c>
      <c r="K44" s="2522" t="s">
        <v>93</v>
      </c>
      <c r="L44" s="2522" t="s">
        <v>93</v>
      </c>
      <c r="M44" s="2522" t="s">
        <v>93</v>
      </c>
      <c r="N44" s="2522" t="s">
        <v>93</v>
      </c>
      <c r="O44" s="2522" t="s">
        <v>93</v>
      </c>
      <c r="P44" s="2523" t="s">
        <v>93</v>
      </c>
      <c r="Q44" s="2522" t="s">
        <v>91</v>
      </c>
      <c r="R44" s="2522" t="s">
        <v>91</v>
      </c>
      <c r="S44" s="2522" t="s">
        <v>92</v>
      </c>
      <c r="T44" s="2523" t="s">
        <v>91</v>
      </c>
      <c r="U44" s="2522" t="s">
        <v>91</v>
      </c>
      <c r="V44" s="2522" t="s">
        <v>91</v>
      </c>
      <c r="W44" s="2522" t="s">
        <v>91</v>
      </c>
      <c r="X44" s="2523" t="s">
        <v>91</v>
      </c>
      <c r="Y44" s="2523" t="s">
        <v>92</v>
      </c>
      <c r="Z44" s="2522" t="s">
        <v>93</v>
      </c>
      <c r="AA44" s="2523" t="s">
        <v>93</v>
      </c>
    </row>
    <row r="45" ht="18.75" customHeight="1">
      <c r="A45" s="158"/>
      <c r="B45" s="2833" t="s">
        <v>1285</v>
      </c>
      <c r="C45" s="2834" t="s">
        <v>1955</v>
      </c>
      <c r="D45" s="2522" t="s">
        <v>91</v>
      </c>
      <c r="E45" s="2522" t="s">
        <v>92</v>
      </c>
      <c r="F45" s="2522" t="s">
        <v>91</v>
      </c>
      <c r="G45" s="2522" t="s">
        <v>92</v>
      </c>
      <c r="H45" s="2523" t="s">
        <v>91</v>
      </c>
      <c r="I45" s="2522" t="s">
        <v>92</v>
      </c>
      <c r="J45" s="2522" t="s">
        <v>91</v>
      </c>
      <c r="K45" s="2522" t="s">
        <v>92</v>
      </c>
      <c r="L45" s="2522" t="s">
        <v>91</v>
      </c>
      <c r="M45" s="2522" t="s">
        <v>91</v>
      </c>
      <c r="N45" s="2522" t="s">
        <v>91</v>
      </c>
      <c r="O45" s="2522" t="s">
        <v>91</v>
      </c>
      <c r="P45" s="2523" t="s">
        <v>91</v>
      </c>
      <c r="Q45" s="2522" t="s">
        <v>91</v>
      </c>
      <c r="R45" s="2522" t="s">
        <v>92</v>
      </c>
      <c r="S45" s="2522" t="s">
        <v>92</v>
      </c>
      <c r="T45" s="2523" t="s">
        <v>91</v>
      </c>
      <c r="U45" s="2522" t="s">
        <v>117</v>
      </c>
      <c r="V45" s="2522" t="s">
        <v>92</v>
      </c>
      <c r="W45" s="2522" t="s">
        <v>92</v>
      </c>
      <c r="X45" s="2523" t="s">
        <v>91</v>
      </c>
      <c r="Y45" s="2523" t="s">
        <v>93</v>
      </c>
      <c r="Z45" s="2522" t="s">
        <v>93</v>
      </c>
      <c r="AA45" s="2523" t="s">
        <v>93</v>
      </c>
    </row>
    <row r="46" ht="11.25" customHeight="1">
      <c r="A46" s="2576"/>
      <c r="B46" s="2577"/>
      <c r="C46" s="2732"/>
      <c r="D46" s="2253" t="str">
        <f t="shared" ref="D46:AA46" si="2">CONCATENATE("{""status"": ", IF(GT(D47, D48), """aangenomen""", """verworpen"""), ", ""title"": """, D5, """, ""url"": """,D29  , """, ""voor"":", D47,", ""tegen"": ", D48, ", ""onthouden"":", D49, "}")</f>
        <v>{"status": "aangenomen", "title": "M0020", "url": "https://www.reddit.com/r/RMTK/comments/aipqmi/", "voor":23, "tegen": 3, "onthouden":1}</v>
      </c>
      <c r="E46" s="2253" t="str">
        <f t="shared" si="2"/>
        <v>{"status": "verworpen", "title": "M0021", "url": "https://www.reddit.com/r/RMTK/comments/aiq3cp/", "voor":3, "tegen": 24, "onthouden":0}</v>
      </c>
      <c r="F46" s="2253" t="str">
        <f t="shared" si="2"/>
        <v>{"status": "aangenomen", "title": "M0022", "url": "https://www.reddit.com/r/RMTK/comments/aj2ow8/", "voor":17, "tegen": 10, "onthouden":0}</v>
      </c>
      <c r="G46" s="2253" t="str">
        <f t="shared" si="2"/>
        <v>{"status": "verworpen", "title": "M0023", "url": "https://www.reddit.com/r/RMTK/comments/ajf9vj/", "voor":7, "tegen": 20, "onthouden":0}</v>
      </c>
      <c r="H46" s="2253" t="str">
        <f t="shared" si="2"/>
        <v>{"status": "aangenomen", "title": "M0024", "url": "https://www.reddit.com/r/RMTK/comments/ajfndl/", "voor":21, "tegen": 6, "onthouden":0}</v>
      </c>
      <c r="I46" s="2253" t="str">
        <f t="shared" si="2"/>
        <v>{"status": "aangenomen", "title": "M0025", "url": "https://www.reddit.com/r/RMTK/comments/akqcw6", "voor":15, "tegen": 5, "onthouden":2}</v>
      </c>
      <c r="J46" s="2253" t="str">
        <f t="shared" si="2"/>
        <v>{"status": "aangenomen", "title": "M0026", "url": "https://www.reddit.com/r/RMTK/comments/al2x7m/", "voor":20, "tegen": 2, "onthouden":0}</v>
      </c>
      <c r="K46" s="2253" t="str">
        <f t="shared" si="2"/>
        <v>{"status": "verworpen", "title": "M0027", "url": "https://www.reddit.com/r/RMTK/comments/aleh5w/", "voor":5, "tegen": 17, "onthouden":0}</v>
      </c>
      <c r="L46" s="2253" t="str">
        <f t="shared" si="2"/>
        <v>{"status": "aangenomen", "title": "M0028", "url": "https://www.reddit.com/r/RMTK/comments/alfjq1/", "voor":20, "tegen": 2, "onthouden":0}</v>
      </c>
      <c r="M46" s="2253" t="str">
        <f t="shared" si="2"/>
        <v>{"status": "aangenomen", "title": "M0029", "url": "https://www.reddit.com/r/RMTK/comments/alrx3g/", "voor":14, "tegen": 7, "onthouden":1}</v>
      </c>
      <c r="N46" s="2253" t="str">
        <f t="shared" si="2"/>
        <v>{"status": "verworpen", "title": "M0030", "url": "https://www.reddit.com/r/RMTK/comments/alskg2/", "voor":9, "tegen": 13, "onthouden":0}</v>
      </c>
      <c r="O46" s="2253" t="str">
        <f t="shared" si="2"/>
        <v>{"status": "aangenomen", "title": "W0005", "url": "https://www.reddit.com/r/RMTK/comments/a9np8r/", "voor":18, "tegen": 4, "onthouden":0}</v>
      </c>
      <c r="P46" s="2253" t="str">
        <f t="shared" si="2"/>
        <v>{"status": "aangenomen", "title": "W0007", "url": "https://www.reddit.com/r/RMTK/comments/adxbtn/", "voor":20, "tegen": 2, "onthouden":0}</v>
      </c>
      <c r="Q46" s="2253" t="str">
        <f t="shared" si="2"/>
        <v>{"status": "verworpen", "title": "M0031", "url": "https://www.reddit.com/r/RMTK/comments/an3yg1", "voor":15, "tegen": 15, "onthouden":0}</v>
      </c>
      <c r="R46" s="2253" t="str">
        <f t="shared" si="2"/>
        <v>{"status": "verworpen", "title": "M0032", "url": "https://www.reddit.com/r/RMTK/comments/an4pf6/", "voor":7, "tegen": 23, "onthouden":0}</v>
      </c>
      <c r="S46" s="2253" t="str">
        <f t="shared" si="2"/>
        <v>{"status": "verworpen", "title": "M0033", "url": "https://www.reddit.com/r/RMTK/comments/ansc9j/", "voor":14, "tegen": 16, "onthouden":0}</v>
      </c>
      <c r="T46" s="2253" t="str">
        <f t="shared" si="2"/>
        <v>{"status": "verworpen", "title": "M0034", "url": "https://www.reddit.com/r/RMTK/comments/ao8cgj/", "voor":7, "tegen": 23, "onthouden":0}</v>
      </c>
      <c r="U46" s="2253" t="str">
        <f t="shared" si="2"/>
        <v>{"status": "verworpen", "title": "M0035", "url": "https://www.reddit.com/r/RMTK/comments/apk0kw/", "voor":11, "tegen": 17, "onthouden":1}</v>
      </c>
      <c r="V46" s="2253" t="str">
        <f t="shared" si="2"/>
        <v>{"status": "verworpen", "title": "M0036", "url": "https://www.reddit.com/r/RMTK/comments/aqngvk/", "voor":11, "tegen": 17, "onthouden":1}</v>
      </c>
      <c r="W46" s="2253" t="str">
        <f t="shared" si="2"/>
        <v>{"status": "verworpen", "title": "M0037", "url": "https://www.reddit.com/r/RMTK/comments/aqnnru/", "voor":7, "tegen": 22, "onthouden":0}</v>
      </c>
      <c r="X46" s="2253" t="str">
        <f t="shared" si="2"/>
        <v>{"status": "aangenomen", "title": "W0010", "url": "https://www.reddit.com/r/RMTK/comments/apwpjm/", "voor":25, "tegen": 4, "onthouden":0}</v>
      </c>
      <c r="Y46" s="2253" t="str">
        <f t="shared" si="2"/>
        <v>{"status": "aangenomen", "title": "M0038", "url": "https://www.reddit.com/r/RMTK/comments/asennu/", "voor":25, "tegen": 1, "onthouden":0}</v>
      </c>
      <c r="Z46" s="2253" t="str">
        <f t="shared" si="2"/>
        <v>{"status": "aangenomen", "title": "M0039", "url": "https://www.reddit.com/r/RMTK/comments/av3xoy/", "voor":16, "tegen": 5, "onthouden":0}</v>
      </c>
      <c r="AA46" s="2253" t="str">
        <f t="shared" si="2"/>
        <v>{"status": "aangenomen", "title": "W0011", "url": "https://www.reddit.com/r/RMTK/comments/avu0ir/", "voor":20, "tegen": 1, "onthouden":0}</v>
      </c>
    </row>
    <row r="47" ht="18.0" customHeight="1">
      <c r="A47" s="2585" t="s">
        <v>119</v>
      </c>
      <c r="B47" s="2586" t="s">
        <v>91</v>
      </c>
      <c r="C47" s="44"/>
      <c r="D47" s="2587">
        <f t="shared" ref="D47:G47" si="3">COUNTIF(D5:D45,"Voor")</f>
        <v>23</v>
      </c>
      <c r="E47" s="2587">
        <f t="shared" si="3"/>
        <v>3</v>
      </c>
      <c r="F47" s="2587">
        <f t="shared" si="3"/>
        <v>17</v>
      </c>
      <c r="G47" s="2587">
        <f t="shared" si="3"/>
        <v>7</v>
      </c>
      <c r="H47" s="2587">
        <f t="shared" ref="H47:AA47" si="4">COUNTIF(H4:H45,"Voor")</f>
        <v>21</v>
      </c>
      <c r="I47" s="2587">
        <f t="shared" si="4"/>
        <v>15</v>
      </c>
      <c r="J47" s="2587">
        <f t="shared" si="4"/>
        <v>20</v>
      </c>
      <c r="K47" s="2587">
        <f t="shared" si="4"/>
        <v>5</v>
      </c>
      <c r="L47" s="2587">
        <f t="shared" si="4"/>
        <v>20</v>
      </c>
      <c r="M47" s="2587">
        <f t="shared" si="4"/>
        <v>14</v>
      </c>
      <c r="N47" s="2587">
        <f t="shared" si="4"/>
        <v>9</v>
      </c>
      <c r="O47" s="2587">
        <f t="shared" si="4"/>
        <v>18</v>
      </c>
      <c r="P47" s="2587">
        <f t="shared" si="4"/>
        <v>20</v>
      </c>
      <c r="Q47" s="2587">
        <f t="shared" si="4"/>
        <v>15</v>
      </c>
      <c r="R47" s="2587">
        <f t="shared" si="4"/>
        <v>7</v>
      </c>
      <c r="S47" s="2587">
        <f t="shared" si="4"/>
        <v>14</v>
      </c>
      <c r="T47" s="2587">
        <f t="shared" si="4"/>
        <v>7</v>
      </c>
      <c r="U47" s="2587">
        <f t="shared" si="4"/>
        <v>11</v>
      </c>
      <c r="V47" s="2587">
        <f t="shared" si="4"/>
        <v>11</v>
      </c>
      <c r="W47" s="2587">
        <f t="shared" si="4"/>
        <v>7</v>
      </c>
      <c r="X47" s="2587">
        <f t="shared" si="4"/>
        <v>25</v>
      </c>
      <c r="Y47" s="2587">
        <f t="shared" si="4"/>
        <v>25</v>
      </c>
      <c r="Z47" s="2587">
        <f t="shared" si="4"/>
        <v>16</v>
      </c>
      <c r="AA47" s="2587">
        <f t="shared" si="4"/>
        <v>20</v>
      </c>
    </row>
    <row r="48" ht="18.75" customHeight="1">
      <c r="A48" s="44"/>
      <c r="B48" s="2591" t="s">
        <v>92</v>
      </c>
      <c r="C48" s="44"/>
      <c r="D48" s="2592">
        <f t="shared" ref="D48:G48" si="5">COUNTIF(D5:D45,"Tegen")</f>
        <v>3</v>
      </c>
      <c r="E48" s="2592">
        <f t="shared" si="5"/>
        <v>24</v>
      </c>
      <c r="F48" s="2592">
        <f t="shared" si="5"/>
        <v>10</v>
      </c>
      <c r="G48" s="2592">
        <f t="shared" si="5"/>
        <v>20</v>
      </c>
      <c r="H48" s="2592">
        <f t="shared" ref="H48:AA48" si="6">COUNTIF(H4:H45,"Tegen")</f>
        <v>6</v>
      </c>
      <c r="I48" s="2592">
        <f t="shared" si="6"/>
        <v>5</v>
      </c>
      <c r="J48" s="2592">
        <f t="shared" si="6"/>
        <v>2</v>
      </c>
      <c r="K48" s="2592">
        <f t="shared" si="6"/>
        <v>17</v>
      </c>
      <c r="L48" s="2592">
        <f t="shared" si="6"/>
        <v>2</v>
      </c>
      <c r="M48" s="2592">
        <f t="shared" si="6"/>
        <v>7</v>
      </c>
      <c r="N48" s="2592">
        <f t="shared" si="6"/>
        <v>13</v>
      </c>
      <c r="O48" s="2592">
        <f t="shared" si="6"/>
        <v>4</v>
      </c>
      <c r="P48" s="2592">
        <f t="shared" si="6"/>
        <v>2</v>
      </c>
      <c r="Q48" s="2592">
        <f t="shared" si="6"/>
        <v>15</v>
      </c>
      <c r="R48" s="2592">
        <f t="shared" si="6"/>
        <v>23</v>
      </c>
      <c r="S48" s="2592">
        <f t="shared" si="6"/>
        <v>16</v>
      </c>
      <c r="T48" s="2592">
        <f t="shared" si="6"/>
        <v>23</v>
      </c>
      <c r="U48" s="2592">
        <f t="shared" si="6"/>
        <v>17</v>
      </c>
      <c r="V48" s="2592">
        <f t="shared" si="6"/>
        <v>17</v>
      </c>
      <c r="W48" s="2592">
        <f t="shared" si="6"/>
        <v>22</v>
      </c>
      <c r="X48" s="2592">
        <f t="shared" si="6"/>
        <v>4</v>
      </c>
      <c r="Y48" s="2592">
        <f t="shared" si="6"/>
        <v>1</v>
      </c>
      <c r="Z48" s="2592">
        <f t="shared" si="6"/>
        <v>5</v>
      </c>
      <c r="AA48" s="2592">
        <f t="shared" si="6"/>
        <v>1</v>
      </c>
    </row>
    <row r="49" ht="18.75" customHeight="1">
      <c r="A49" s="44"/>
      <c r="B49" s="2596" t="s">
        <v>120</v>
      </c>
      <c r="C49" s="44"/>
      <c r="D49" s="2597">
        <f t="shared" ref="D49:G49" si="7">COUNTIF(D5:D45,"SO")</f>
        <v>1</v>
      </c>
      <c r="E49" s="2597">
        <f t="shared" si="7"/>
        <v>0</v>
      </c>
      <c r="F49" s="2597">
        <f t="shared" si="7"/>
        <v>0</v>
      </c>
      <c r="G49" s="2597">
        <f t="shared" si="7"/>
        <v>0</v>
      </c>
      <c r="H49" s="2597">
        <f t="shared" ref="H49:AA49" si="8">COUNTIF(H4:H45,"SO")</f>
        <v>0</v>
      </c>
      <c r="I49" s="2597">
        <f t="shared" si="8"/>
        <v>2</v>
      </c>
      <c r="J49" s="2597">
        <f t="shared" si="8"/>
        <v>0</v>
      </c>
      <c r="K49" s="2597">
        <f t="shared" si="8"/>
        <v>0</v>
      </c>
      <c r="L49" s="2597">
        <f t="shared" si="8"/>
        <v>0</v>
      </c>
      <c r="M49" s="2597">
        <f t="shared" si="8"/>
        <v>1</v>
      </c>
      <c r="N49" s="2597">
        <f t="shared" si="8"/>
        <v>0</v>
      </c>
      <c r="O49" s="2597">
        <f t="shared" si="8"/>
        <v>0</v>
      </c>
      <c r="P49" s="2597">
        <f t="shared" si="8"/>
        <v>0</v>
      </c>
      <c r="Q49" s="2597">
        <f t="shared" si="8"/>
        <v>0</v>
      </c>
      <c r="R49" s="2597">
        <f t="shared" si="8"/>
        <v>0</v>
      </c>
      <c r="S49" s="2597">
        <f t="shared" si="8"/>
        <v>0</v>
      </c>
      <c r="T49" s="2597">
        <f t="shared" si="8"/>
        <v>0</v>
      </c>
      <c r="U49" s="2597">
        <f t="shared" si="8"/>
        <v>1</v>
      </c>
      <c r="V49" s="2597">
        <f t="shared" si="8"/>
        <v>1</v>
      </c>
      <c r="W49" s="2597">
        <f t="shared" si="8"/>
        <v>0</v>
      </c>
      <c r="X49" s="2597">
        <f t="shared" si="8"/>
        <v>0</v>
      </c>
      <c r="Y49" s="2597">
        <f t="shared" si="8"/>
        <v>0</v>
      </c>
      <c r="Z49" s="2597">
        <f t="shared" si="8"/>
        <v>0</v>
      </c>
      <c r="AA49" s="2597">
        <f t="shared" si="8"/>
        <v>0</v>
      </c>
    </row>
    <row r="50" ht="18.75" customHeight="1">
      <c r="A50" s="44"/>
      <c r="B50" s="2601" t="s">
        <v>121</v>
      </c>
      <c r="C50" s="44"/>
      <c r="D50" s="2602">
        <f t="shared" ref="D50:G50" si="9">COUNTIF(D5:D45,"NG")</f>
        <v>7</v>
      </c>
      <c r="E50" s="2602">
        <f t="shared" si="9"/>
        <v>7</v>
      </c>
      <c r="F50" s="2602">
        <f t="shared" si="9"/>
        <v>7</v>
      </c>
      <c r="G50" s="2602">
        <f t="shared" si="9"/>
        <v>7</v>
      </c>
      <c r="H50" s="2602">
        <f t="shared" ref="H50:AA50" si="10">COUNTIF(H4:H45,"NG")</f>
        <v>7</v>
      </c>
      <c r="I50" s="2602">
        <f t="shared" si="10"/>
        <v>13</v>
      </c>
      <c r="J50" s="2602">
        <f t="shared" si="10"/>
        <v>13</v>
      </c>
      <c r="K50" s="2602">
        <f t="shared" si="10"/>
        <v>13</v>
      </c>
      <c r="L50" s="2602">
        <f t="shared" si="10"/>
        <v>13</v>
      </c>
      <c r="M50" s="2602">
        <f t="shared" si="10"/>
        <v>13</v>
      </c>
      <c r="N50" s="2602">
        <f t="shared" si="10"/>
        <v>13</v>
      </c>
      <c r="O50" s="2602">
        <f t="shared" si="10"/>
        <v>13</v>
      </c>
      <c r="P50" s="2602">
        <f t="shared" si="10"/>
        <v>13</v>
      </c>
      <c r="Q50" s="2602">
        <f t="shared" si="10"/>
        <v>5</v>
      </c>
      <c r="R50" s="2602">
        <f t="shared" si="10"/>
        <v>5</v>
      </c>
      <c r="S50" s="2602">
        <f t="shared" si="10"/>
        <v>5</v>
      </c>
      <c r="T50" s="2602">
        <f t="shared" si="10"/>
        <v>5</v>
      </c>
      <c r="U50" s="2602">
        <f t="shared" si="10"/>
        <v>6</v>
      </c>
      <c r="V50" s="2602">
        <f t="shared" si="10"/>
        <v>6</v>
      </c>
      <c r="W50" s="2602">
        <f t="shared" si="10"/>
        <v>6</v>
      </c>
      <c r="X50" s="2602">
        <f t="shared" si="10"/>
        <v>6</v>
      </c>
      <c r="Y50" s="2602">
        <f t="shared" si="10"/>
        <v>9</v>
      </c>
      <c r="Z50" s="2602">
        <f t="shared" si="10"/>
        <v>14</v>
      </c>
      <c r="AA50" s="2602">
        <f t="shared" si="10"/>
        <v>14</v>
      </c>
    </row>
    <row r="51" ht="18.75" customHeight="1">
      <c r="A51" s="44"/>
      <c r="B51" s="2606" t="s">
        <v>122</v>
      </c>
      <c r="C51" s="44"/>
      <c r="D51" s="2607">
        <f t="shared" ref="D51:AA51" si="11">SUM(D47:D50)</f>
        <v>34</v>
      </c>
      <c r="E51" s="2607">
        <f t="shared" si="11"/>
        <v>34</v>
      </c>
      <c r="F51" s="2607">
        <f t="shared" si="11"/>
        <v>34</v>
      </c>
      <c r="G51" s="2607">
        <f t="shared" si="11"/>
        <v>34</v>
      </c>
      <c r="H51" s="2607">
        <f t="shared" si="11"/>
        <v>34</v>
      </c>
      <c r="I51" s="2607">
        <f t="shared" si="11"/>
        <v>35</v>
      </c>
      <c r="J51" s="2607">
        <f t="shared" si="11"/>
        <v>35</v>
      </c>
      <c r="K51" s="2607">
        <f t="shared" si="11"/>
        <v>35</v>
      </c>
      <c r="L51" s="2607">
        <f t="shared" si="11"/>
        <v>35</v>
      </c>
      <c r="M51" s="2607">
        <f t="shared" si="11"/>
        <v>35</v>
      </c>
      <c r="N51" s="2607">
        <f t="shared" si="11"/>
        <v>35</v>
      </c>
      <c r="O51" s="2607">
        <f t="shared" si="11"/>
        <v>35</v>
      </c>
      <c r="P51" s="2607">
        <f t="shared" si="11"/>
        <v>35</v>
      </c>
      <c r="Q51" s="2607">
        <f t="shared" si="11"/>
        <v>35</v>
      </c>
      <c r="R51" s="2607">
        <f t="shared" si="11"/>
        <v>35</v>
      </c>
      <c r="S51" s="2607">
        <f t="shared" si="11"/>
        <v>35</v>
      </c>
      <c r="T51" s="2607">
        <f t="shared" si="11"/>
        <v>35</v>
      </c>
      <c r="U51" s="2607">
        <f t="shared" si="11"/>
        <v>35</v>
      </c>
      <c r="V51" s="2607">
        <f t="shared" si="11"/>
        <v>35</v>
      </c>
      <c r="W51" s="2607">
        <f t="shared" si="11"/>
        <v>35</v>
      </c>
      <c r="X51" s="2607">
        <f t="shared" si="11"/>
        <v>35</v>
      </c>
      <c r="Y51" s="2607">
        <f t="shared" si="11"/>
        <v>35</v>
      </c>
      <c r="Z51" s="2607">
        <f t="shared" si="11"/>
        <v>35</v>
      </c>
      <c r="AA51" s="2607">
        <f t="shared" si="11"/>
        <v>35</v>
      </c>
    </row>
    <row r="52" ht="18.75" customHeight="1">
      <c r="A52" s="44"/>
      <c r="B52" s="2611" t="s">
        <v>124</v>
      </c>
      <c r="C52" s="44"/>
      <c r="D52" s="2612">
        <f t="shared" ref="D52:AA52" si="12">D47+D48+D49</f>
        <v>27</v>
      </c>
      <c r="E52" s="2612">
        <f t="shared" si="12"/>
        <v>27</v>
      </c>
      <c r="F52" s="2612">
        <f t="shared" si="12"/>
        <v>27</v>
      </c>
      <c r="G52" s="2612">
        <f t="shared" si="12"/>
        <v>27</v>
      </c>
      <c r="H52" s="2612">
        <f t="shared" si="12"/>
        <v>27</v>
      </c>
      <c r="I52" s="2612">
        <f t="shared" si="12"/>
        <v>22</v>
      </c>
      <c r="J52" s="2612">
        <f t="shared" si="12"/>
        <v>22</v>
      </c>
      <c r="K52" s="2612">
        <f t="shared" si="12"/>
        <v>22</v>
      </c>
      <c r="L52" s="2612">
        <f t="shared" si="12"/>
        <v>22</v>
      </c>
      <c r="M52" s="2612">
        <f t="shared" si="12"/>
        <v>22</v>
      </c>
      <c r="N52" s="2612">
        <f t="shared" si="12"/>
        <v>22</v>
      </c>
      <c r="O52" s="2612">
        <f t="shared" si="12"/>
        <v>22</v>
      </c>
      <c r="P52" s="2612">
        <f t="shared" si="12"/>
        <v>22</v>
      </c>
      <c r="Q52" s="2612">
        <f t="shared" si="12"/>
        <v>30</v>
      </c>
      <c r="R52" s="2612">
        <f t="shared" si="12"/>
        <v>30</v>
      </c>
      <c r="S52" s="2612">
        <f t="shared" si="12"/>
        <v>30</v>
      </c>
      <c r="T52" s="2612">
        <f t="shared" si="12"/>
        <v>30</v>
      </c>
      <c r="U52" s="2612">
        <f t="shared" si="12"/>
        <v>29</v>
      </c>
      <c r="V52" s="2612">
        <f t="shared" si="12"/>
        <v>29</v>
      </c>
      <c r="W52" s="2612">
        <f t="shared" si="12"/>
        <v>29</v>
      </c>
      <c r="X52" s="2612">
        <f t="shared" si="12"/>
        <v>29</v>
      </c>
      <c r="Y52" s="2612">
        <f t="shared" si="12"/>
        <v>26</v>
      </c>
      <c r="Z52" s="2612">
        <f t="shared" si="12"/>
        <v>21</v>
      </c>
      <c r="AA52" s="2612">
        <f t="shared" si="12"/>
        <v>21</v>
      </c>
    </row>
    <row r="53" ht="18.75" customHeight="1">
      <c r="A53" s="228"/>
      <c r="B53" s="2616" t="s">
        <v>125</v>
      </c>
      <c r="C53" s="228"/>
      <c r="D53" s="2617">
        <f t="shared" ref="D53:AA53" si="13">IFERROR(D52/D51,"")</f>
        <v>0.7941176471</v>
      </c>
      <c r="E53" s="2617">
        <f t="shared" si="13"/>
        <v>0.7941176471</v>
      </c>
      <c r="F53" s="2617">
        <f t="shared" si="13"/>
        <v>0.7941176471</v>
      </c>
      <c r="G53" s="2617">
        <f t="shared" si="13"/>
        <v>0.7941176471</v>
      </c>
      <c r="H53" s="2617">
        <f t="shared" si="13"/>
        <v>0.7941176471</v>
      </c>
      <c r="I53" s="2617">
        <f t="shared" si="13"/>
        <v>0.6285714286</v>
      </c>
      <c r="J53" s="2617">
        <f t="shared" si="13"/>
        <v>0.6285714286</v>
      </c>
      <c r="K53" s="2617">
        <f t="shared" si="13"/>
        <v>0.6285714286</v>
      </c>
      <c r="L53" s="2617">
        <f t="shared" si="13"/>
        <v>0.6285714286</v>
      </c>
      <c r="M53" s="2617">
        <f t="shared" si="13"/>
        <v>0.6285714286</v>
      </c>
      <c r="N53" s="2617">
        <f t="shared" si="13"/>
        <v>0.6285714286</v>
      </c>
      <c r="O53" s="2617">
        <f t="shared" si="13"/>
        <v>0.6285714286</v>
      </c>
      <c r="P53" s="2617">
        <f t="shared" si="13"/>
        <v>0.6285714286</v>
      </c>
      <c r="Q53" s="2617">
        <f t="shared" si="13"/>
        <v>0.8571428571</v>
      </c>
      <c r="R53" s="2617">
        <f t="shared" si="13"/>
        <v>0.8571428571</v>
      </c>
      <c r="S53" s="2617">
        <f t="shared" si="13"/>
        <v>0.8571428571</v>
      </c>
      <c r="T53" s="2617">
        <f t="shared" si="13"/>
        <v>0.8571428571</v>
      </c>
      <c r="U53" s="2617">
        <f t="shared" si="13"/>
        <v>0.8285714286</v>
      </c>
      <c r="V53" s="2617">
        <f t="shared" si="13"/>
        <v>0.8285714286</v>
      </c>
      <c r="W53" s="2617">
        <f t="shared" si="13"/>
        <v>0.8285714286</v>
      </c>
      <c r="X53" s="2617">
        <f t="shared" si="13"/>
        <v>0.8285714286</v>
      </c>
      <c r="Y53" s="2617">
        <f t="shared" si="13"/>
        <v>0.7428571429</v>
      </c>
      <c r="Z53" s="2617">
        <f t="shared" si="13"/>
        <v>0.6</v>
      </c>
      <c r="AA53" s="2617">
        <f t="shared" si="13"/>
        <v>0.6</v>
      </c>
    </row>
    <row r="54" ht="18.75" customHeight="1">
      <c r="A54" s="1438"/>
      <c r="B54" s="1438"/>
      <c r="C54" s="1438"/>
      <c r="D54" s="1438"/>
      <c r="E54" s="1438"/>
      <c r="F54" s="1438"/>
      <c r="G54" s="1438"/>
      <c r="H54" s="1438"/>
      <c r="I54" s="1438"/>
      <c r="J54" s="2835"/>
      <c r="K54" s="2835"/>
      <c r="L54" s="2835"/>
      <c r="M54" s="2835"/>
      <c r="N54" s="2835"/>
      <c r="O54" s="2835"/>
      <c r="P54" s="2835"/>
      <c r="Q54" s="2835"/>
      <c r="R54" s="2835"/>
      <c r="S54" s="2835"/>
      <c r="T54" s="2835"/>
      <c r="U54" s="2835"/>
      <c r="V54" s="2835"/>
      <c r="W54" s="2835"/>
      <c r="X54" s="2835"/>
      <c r="Y54" s="2835"/>
      <c r="Z54" s="2835"/>
      <c r="AA54" s="2835"/>
    </row>
  </sheetData>
  <mergeCells count="22">
    <mergeCell ref="A2:C2"/>
    <mergeCell ref="D2:AA4"/>
    <mergeCell ref="A3:C4"/>
    <mergeCell ref="B7:B14"/>
    <mergeCell ref="B15:B22"/>
    <mergeCell ref="B23:B26"/>
    <mergeCell ref="B27:B28"/>
    <mergeCell ref="B43:B44"/>
    <mergeCell ref="B47:C47"/>
    <mergeCell ref="B48:C48"/>
    <mergeCell ref="B49:C49"/>
    <mergeCell ref="B50:C50"/>
    <mergeCell ref="B51:C51"/>
    <mergeCell ref="B52:C52"/>
    <mergeCell ref="B53:C53"/>
    <mergeCell ref="A7:A28"/>
    <mergeCell ref="A30:A45"/>
    <mergeCell ref="B30:B33"/>
    <mergeCell ref="B34:B36"/>
    <mergeCell ref="B37:B39"/>
    <mergeCell ref="B40:B42"/>
    <mergeCell ref="A47:A53"/>
  </mergeCells>
  <conditionalFormatting sqref="A3">
    <cfRule type="containsText" dxfId="0" priority="1" operator="containsText" text="voor">
      <formula>NOT(ISERROR(SEARCH(("voor"),(A3))))</formula>
    </cfRule>
  </conditionalFormatting>
  <conditionalFormatting sqref="A54:AA54">
    <cfRule type="containsText" dxfId="27" priority="2" operator="containsText" text="SO">
      <formula>NOT(ISERROR(SEARCH(("SO"),(A54))))</formula>
    </cfRule>
  </conditionalFormatting>
  <conditionalFormatting sqref="A54:AA54">
    <cfRule type="containsText" dxfId="28" priority="3" operator="containsText" text="N.v.t.">
      <formula>NOT(ISERROR(SEARCH(("N.v.t."),(A54))))</formula>
    </cfRule>
  </conditionalFormatting>
  <conditionalFormatting sqref="A54:AA54">
    <cfRule type="containsText" dxfId="29" priority="4" operator="containsText" text="Voor">
      <formula>NOT(ISERROR(SEARCH(("Voor"),(A54))))</formula>
    </cfRule>
  </conditionalFormatting>
  <conditionalFormatting sqref="A54:AA54">
    <cfRule type="containsText" dxfId="30" priority="5" operator="containsText" text="Tegen">
      <formula>NOT(ISERROR(SEARCH(("Tegen"),(A54))))</formula>
    </cfRule>
  </conditionalFormatting>
  <conditionalFormatting sqref="A54:AA54">
    <cfRule type="containsText" dxfId="31" priority="6" operator="containsText" text="N.v.t.">
      <formula>NOT(ISERROR(SEARCH(("N.v.t."),(A54))))</formula>
    </cfRule>
  </conditionalFormatting>
  <conditionalFormatting sqref="A54:AA54">
    <cfRule type="cellIs" dxfId="27" priority="7" operator="equal">
      <formula>"SO"</formula>
    </cfRule>
  </conditionalFormatting>
  <conditionalFormatting sqref="A54:AA54">
    <cfRule type="cellIs" dxfId="32" priority="8" operator="equal">
      <formula>"NG"</formula>
    </cfRule>
  </conditionalFormatting>
  <conditionalFormatting sqref="D7:H13 I7:Y18 Z7:AA17 D15:H18 Z19:AA22 D20:T24 U20:Y22 U24:AA26 D26:H27 I26:T26 I28:AA45 D29:H45">
    <cfRule type="containsText" dxfId="2" priority="9" operator="containsText" text="SO">
      <formula>NOT(ISERROR(SEARCH(("SO"),(D7))))</formula>
    </cfRule>
  </conditionalFormatting>
  <conditionalFormatting sqref="A3 D7:H13 I7:Y18 Z7:AA17 D15:H18 Z19:AA22 D20:T24 U20:Y22 U24:AA26 D26:H27 I26:T26 I28:AA45 D29:H45">
    <cfRule type="containsText" dxfId="1" priority="10" operator="containsText" text="tegen">
      <formula>NOT(ISERROR(SEARCH(("tegen"),(A3))))</formula>
    </cfRule>
  </conditionalFormatting>
  <conditionalFormatting sqref="D7:H13 I7:Y18 Z7:AA17 D15:H18 Z19:AA22 D20:T24 U20:Y22 U24:AA26 D26:H27 I26:T26 I28:AA45 D29:H45">
    <cfRule type="containsText" dxfId="4" priority="11" operator="containsText" text="voor">
      <formula>NOT(ISERROR(SEARCH(("voor"),(D7))))</formula>
    </cfRule>
  </conditionalFormatting>
  <conditionalFormatting sqref="D7:H13 I7:Y18 Z7:AA17 D15:H18 Z19:AA22 D20:T24 U20:Y22 U24:AA26 D26:H27 I26:T26 I28:AA45 D29:H45">
    <cfRule type="cellIs" dxfId="5" priority="12" operator="equal">
      <formula>"NG"</formula>
    </cfRule>
  </conditionalFormatting>
  <conditionalFormatting sqref="D7:H13 I7:Y18 Z7:AA17 D15:H18 Z19:AA22 D20:T24 U20:Y22 U24:AA26 D26:H27 I26:T26 I28:AA45 D29:H45">
    <cfRule type="containsText" dxfId="6" priority="13" operator="containsText" text="NVT">
      <formula>NOT(ISERROR(SEARCH(("NVT"),(D7))))</formula>
    </cfRule>
  </conditionalFormatting>
  <drawing r:id="rId1"/>
</worksheet>
</file>

<file path=xl/worksheets/sheet3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5B0F00"/>
    <outlinePr summaryBelow="0" summaryRight="0"/>
  </sheetPr>
  <sheetViews>
    <sheetView workbookViewId="0">
      <pane xSplit="3.0" topLeftCell="D1" activePane="topRight" state="frozen"/>
      <selection activeCell="E2" sqref="E2" pane="topRight"/>
    </sheetView>
  </sheetViews>
  <sheetFormatPr customHeight="1" defaultColWidth="14.43" defaultRowHeight="15.75"/>
  <cols>
    <col customWidth="1" min="1" max="1" width="10.86"/>
    <col customWidth="1" min="2" max="2" width="11.0"/>
    <col customWidth="1" min="3" max="3" width="21.86"/>
  </cols>
  <sheetData>
    <row r="1" ht="18.75" customHeight="1">
      <c r="A1" s="2772" t="s">
        <v>1817</v>
      </c>
      <c r="B1" s="1438"/>
      <c r="C1" s="1438"/>
      <c r="D1" s="1438"/>
      <c r="E1" s="1438"/>
      <c r="F1" s="1438"/>
      <c r="G1" s="1438"/>
      <c r="H1" s="1438"/>
      <c r="I1" s="1438"/>
      <c r="J1" s="1438"/>
      <c r="K1" s="1438"/>
      <c r="L1" s="1438"/>
      <c r="M1" s="1438"/>
      <c r="N1" s="1438"/>
      <c r="O1" s="1438"/>
      <c r="P1" s="1438"/>
      <c r="Q1" s="1438"/>
      <c r="R1" s="1438"/>
      <c r="S1" s="1438"/>
      <c r="T1" s="1438"/>
      <c r="U1" s="1438"/>
      <c r="V1" s="1438"/>
      <c r="W1" s="1438"/>
      <c r="X1" s="1438"/>
      <c r="Y1" s="1438"/>
    </row>
    <row r="2" ht="18.75" customHeight="1">
      <c r="A2" s="2622"/>
      <c r="B2" s="2357"/>
      <c r="C2" s="2358"/>
      <c r="D2" s="2756" t="s">
        <v>1818</v>
      </c>
      <c r="E2" s="16"/>
      <c r="F2" s="16"/>
      <c r="G2" s="16"/>
      <c r="H2" s="16"/>
      <c r="I2" s="16"/>
      <c r="J2" s="16"/>
      <c r="K2" s="17"/>
      <c r="L2" s="1438"/>
      <c r="M2" s="1438"/>
      <c r="N2" s="1438"/>
      <c r="O2" s="1438"/>
      <c r="P2" s="1438"/>
      <c r="Q2" s="1438"/>
      <c r="R2" s="1438"/>
      <c r="S2" s="1438"/>
      <c r="T2" s="1438"/>
      <c r="U2" s="1438"/>
      <c r="V2" s="1438"/>
      <c r="W2" s="1438"/>
      <c r="X2" s="1438"/>
      <c r="Y2" s="1438"/>
    </row>
    <row r="3" ht="18.75" customHeight="1">
      <c r="A3" s="1438"/>
      <c r="B3" s="1438"/>
      <c r="C3" s="1438"/>
      <c r="D3" s="2624"/>
      <c r="E3" s="2624"/>
      <c r="F3" s="2624"/>
      <c r="G3" s="2624"/>
      <c r="H3" s="1438"/>
      <c r="I3" s="1438"/>
      <c r="J3" s="1438"/>
      <c r="K3" s="1438"/>
      <c r="L3" s="1438"/>
      <c r="M3" s="1438"/>
      <c r="N3" s="1438"/>
      <c r="O3" s="1438"/>
      <c r="P3" s="1438"/>
      <c r="Q3" s="1438"/>
      <c r="R3" s="1438"/>
      <c r="S3" s="1438"/>
      <c r="T3" s="1438"/>
      <c r="U3" s="1438"/>
      <c r="V3" s="1438"/>
      <c r="W3" s="1438"/>
      <c r="X3" s="1438"/>
      <c r="Y3" s="1438"/>
    </row>
    <row r="4" ht="18.75" customHeight="1">
      <c r="A4" s="2622" t="s">
        <v>1029</v>
      </c>
      <c r="B4" s="2357"/>
      <c r="C4" s="2358"/>
      <c r="D4" s="2757" t="s">
        <v>127</v>
      </c>
      <c r="E4" s="124"/>
      <c r="F4" s="124"/>
      <c r="G4" s="20"/>
      <c r="H4" s="1438"/>
      <c r="I4" s="1438"/>
      <c r="J4" s="1438"/>
      <c r="K4" s="1438"/>
      <c r="L4" s="1438"/>
      <c r="M4" s="1438"/>
      <c r="N4" s="1438"/>
      <c r="O4" s="1438"/>
      <c r="P4" s="1438"/>
      <c r="Q4" s="1438"/>
      <c r="R4" s="1438"/>
      <c r="S4" s="1438"/>
      <c r="T4" s="1438"/>
      <c r="U4" s="1438"/>
      <c r="V4" s="1438"/>
      <c r="W4" s="1438"/>
      <c r="X4" s="1438"/>
      <c r="Y4" s="1438"/>
    </row>
    <row r="5" ht="18.75" customHeight="1">
      <c r="A5" s="2675" t="s">
        <v>1952</v>
      </c>
      <c r="C5" s="135"/>
      <c r="D5" s="43"/>
      <c r="G5" s="44"/>
      <c r="H5" s="1438"/>
      <c r="I5" s="1438"/>
      <c r="J5" s="1438"/>
      <c r="K5" s="1438"/>
      <c r="L5" s="1438"/>
      <c r="M5" s="1438"/>
      <c r="N5" s="1438"/>
      <c r="O5" s="1438"/>
      <c r="P5" s="1438"/>
      <c r="Q5" s="1438"/>
      <c r="R5" s="1438"/>
      <c r="S5" s="1438"/>
      <c r="T5" s="1438"/>
      <c r="U5" s="1438"/>
      <c r="V5" s="1438"/>
      <c r="W5" s="1438"/>
      <c r="X5" s="1438"/>
      <c r="Y5" s="1438"/>
    </row>
    <row r="6" ht="18.75" customHeight="1">
      <c r="C6" s="135"/>
      <c r="D6" s="26"/>
      <c r="E6" s="330"/>
      <c r="F6" s="330"/>
      <c r="G6" s="27"/>
      <c r="H6" s="1438"/>
      <c r="I6" s="1438"/>
      <c r="J6" s="1438"/>
      <c r="K6" s="1438"/>
      <c r="L6" s="1438"/>
      <c r="M6" s="1438"/>
      <c r="N6" s="1438"/>
      <c r="O6" s="1438"/>
      <c r="P6" s="1438"/>
      <c r="Q6" s="1438"/>
      <c r="R6" s="1438"/>
      <c r="S6" s="1438"/>
      <c r="T6" s="1438"/>
      <c r="U6" s="1438"/>
      <c r="V6" s="1438"/>
      <c r="W6" s="1438"/>
      <c r="X6" s="1438"/>
      <c r="Y6" s="1438"/>
    </row>
    <row r="7" ht="18.75" customHeight="1">
      <c r="A7" s="2626" t="s">
        <v>86</v>
      </c>
      <c r="B7" s="2627" t="s">
        <v>87</v>
      </c>
      <c r="C7" s="2628" t="s">
        <v>88</v>
      </c>
      <c r="D7" s="2758" t="str">
        <f>HYPERLINK("https://reddit.com/r/RMTK/comments/agz1n5", "W0009")</f>
        <v>W0009</v>
      </c>
      <c r="E7" s="2511" t="str">
        <f>HYPERLINK("https://www.reddit.com/r/RMTK/comments/a9np8r/","W0005")</f>
        <v>W0005</v>
      </c>
      <c r="F7" s="2511" t="str">
        <f>HYPERLINK("https://www.reddit.com/r/RMTK/comments/adxbtn/","W0007")</f>
        <v>W0007</v>
      </c>
      <c r="G7" s="2511" t="str">
        <f>HYPERLINK("https://www.reddit.com/r/RMTK/comments/apwpjm/","W0010")</f>
        <v>W0010</v>
      </c>
      <c r="H7" s="1438"/>
      <c r="I7" s="1438"/>
      <c r="J7" s="1438"/>
      <c r="K7" s="1438"/>
      <c r="L7" s="1438"/>
      <c r="M7" s="1438"/>
      <c r="N7" s="1438"/>
      <c r="O7" s="1438"/>
      <c r="P7" s="1438"/>
      <c r="Q7" s="1438"/>
      <c r="R7" s="1438"/>
      <c r="S7" s="1438"/>
      <c r="T7" s="1438"/>
      <c r="U7" s="1438"/>
      <c r="V7" s="1438"/>
      <c r="W7" s="1438"/>
      <c r="X7" s="1438"/>
      <c r="Y7" s="1438"/>
    </row>
    <row r="8" ht="6.0" customHeight="1">
      <c r="A8" s="2513"/>
      <c r="B8" s="2514"/>
      <c r="C8" s="2514"/>
      <c r="D8" s="2513"/>
      <c r="E8" s="2513"/>
      <c r="F8" s="2514"/>
      <c r="G8" s="2514"/>
      <c r="H8" s="1438"/>
      <c r="I8" s="1438"/>
      <c r="J8" s="1438"/>
      <c r="K8" s="1438"/>
      <c r="L8" s="1438"/>
      <c r="M8" s="1438"/>
      <c r="N8" s="1438"/>
      <c r="O8" s="1438"/>
      <c r="P8" s="1438"/>
      <c r="Q8" s="1438"/>
      <c r="R8" s="1438"/>
      <c r="S8" s="1438"/>
      <c r="T8" s="1438"/>
      <c r="U8" s="1438"/>
      <c r="V8" s="1438"/>
      <c r="W8" s="1438"/>
      <c r="X8" s="1438"/>
      <c r="Y8" s="1438"/>
    </row>
    <row r="9" ht="18.75" customHeight="1">
      <c r="A9" s="2519" t="s">
        <v>1956</v>
      </c>
      <c r="B9" s="2762" t="s">
        <v>214</v>
      </c>
      <c r="C9" s="2836" t="s">
        <v>1166</v>
      </c>
      <c r="D9" s="2764" t="s">
        <v>91</v>
      </c>
      <c r="E9" s="2694" t="s">
        <v>91</v>
      </c>
      <c r="F9" s="2523" t="s">
        <v>91</v>
      </c>
      <c r="G9" s="2522" t="s">
        <v>91</v>
      </c>
      <c r="H9" s="1438"/>
      <c r="I9" s="1438"/>
      <c r="J9" s="1438"/>
      <c r="K9" s="1438"/>
      <c r="L9" s="1438"/>
      <c r="M9" s="1438"/>
      <c r="N9" s="1438"/>
      <c r="O9" s="1438"/>
      <c r="P9" s="1438"/>
      <c r="Q9" s="1438"/>
      <c r="R9" s="1438"/>
      <c r="S9" s="1438"/>
      <c r="T9" s="1438"/>
      <c r="U9" s="1438"/>
      <c r="V9" s="1438"/>
      <c r="W9" s="1438"/>
      <c r="X9" s="1438"/>
      <c r="Y9" s="1438"/>
    </row>
    <row r="10" ht="18.75" customHeight="1">
      <c r="A10" s="158"/>
      <c r="B10" s="2837" t="s">
        <v>1287</v>
      </c>
      <c r="C10" s="2838" t="s">
        <v>1386</v>
      </c>
      <c r="D10" s="2522" t="s">
        <v>93</v>
      </c>
      <c r="E10" s="2694" t="s">
        <v>91</v>
      </c>
      <c r="F10" s="2523" t="s">
        <v>91</v>
      </c>
      <c r="G10" s="2522" t="s">
        <v>91</v>
      </c>
      <c r="H10" s="1438"/>
      <c r="I10" s="1438"/>
      <c r="J10" s="1438"/>
      <c r="K10" s="1438"/>
      <c r="L10" s="1438"/>
      <c r="M10" s="1438"/>
      <c r="N10" s="1438"/>
      <c r="O10" s="1438"/>
      <c r="P10" s="1438"/>
      <c r="Q10" s="1438"/>
      <c r="R10" s="1438"/>
      <c r="S10" s="1438"/>
      <c r="T10" s="1438"/>
      <c r="U10" s="1438"/>
      <c r="V10" s="1438"/>
      <c r="W10" s="1438"/>
      <c r="X10" s="1438"/>
      <c r="Y10" s="1438"/>
    </row>
    <row r="11" ht="18.75" customHeight="1">
      <c r="A11" s="158"/>
      <c r="B11" s="2839" t="s">
        <v>1289</v>
      </c>
      <c r="C11" s="2840" t="s">
        <v>1957</v>
      </c>
      <c r="D11" s="2522" t="s">
        <v>117</v>
      </c>
      <c r="E11" s="2694" t="s">
        <v>91</v>
      </c>
      <c r="F11" s="2523" t="s">
        <v>91</v>
      </c>
      <c r="G11" s="2522" t="s">
        <v>91</v>
      </c>
      <c r="H11" s="1438"/>
      <c r="I11" s="1438"/>
      <c r="J11" s="1438"/>
      <c r="K11" s="1438"/>
      <c r="L11" s="1438"/>
      <c r="M11" s="1438"/>
      <c r="N11" s="1438"/>
      <c r="O11" s="1438"/>
      <c r="P11" s="1438"/>
      <c r="Q11" s="1438"/>
      <c r="R11" s="1438"/>
      <c r="S11" s="1438"/>
      <c r="T11" s="1438"/>
      <c r="U11" s="1438"/>
      <c r="V11" s="1438"/>
      <c r="W11" s="1438"/>
      <c r="X11" s="1438"/>
      <c r="Y11" s="1438"/>
    </row>
    <row r="12" ht="18.75" customHeight="1">
      <c r="A12" s="158"/>
      <c r="B12" s="2841" t="s">
        <v>220</v>
      </c>
      <c r="C12" s="2842" t="s">
        <v>1142</v>
      </c>
      <c r="D12" s="2522" t="s">
        <v>93</v>
      </c>
      <c r="E12" s="2795" t="s">
        <v>118</v>
      </c>
      <c r="F12" s="2706" t="s">
        <v>118</v>
      </c>
      <c r="G12" s="2705" t="s">
        <v>118</v>
      </c>
      <c r="H12" s="1438"/>
      <c r="I12" s="1438"/>
      <c r="J12" s="1438"/>
      <c r="K12" s="1438"/>
      <c r="L12" s="1438"/>
      <c r="M12" s="1438"/>
      <c r="N12" s="1438"/>
      <c r="O12" s="1438"/>
      <c r="P12" s="1438"/>
      <c r="Q12" s="1438"/>
      <c r="R12" s="1438"/>
      <c r="S12" s="1438"/>
      <c r="T12" s="1438"/>
      <c r="U12" s="1438"/>
      <c r="V12" s="1438"/>
      <c r="W12" s="1438"/>
      <c r="X12" s="1438"/>
      <c r="Y12" s="1438"/>
    </row>
    <row r="13" ht="18.75" customHeight="1">
      <c r="A13" s="168"/>
      <c r="C13" s="2843" t="s">
        <v>176</v>
      </c>
      <c r="D13" s="2705" t="s">
        <v>118</v>
      </c>
      <c r="E13" s="2694" t="s">
        <v>91</v>
      </c>
      <c r="F13" s="2523" t="s">
        <v>91</v>
      </c>
      <c r="G13" s="2522" t="s">
        <v>91</v>
      </c>
      <c r="H13" s="1438"/>
      <c r="I13" s="1438"/>
      <c r="J13" s="1438"/>
      <c r="K13" s="1438"/>
      <c r="L13" s="1438"/>
      <c r="M13" s="1438"/>
      <c r="N13" s="1438"/>
      <c r="O13" s="1438"/>
      <c r="P13" s="1438"/>
      <c r="Q13" s="1438"/>
      <c r="R13" s="1438"/>
      <c r="S13" s="1438"/>
      <c r="T13" s="1438"/>
      <c r="U13" s="1438"/>
      <c r="V13" s="1438"/>
      <c r="W13" s="1438"/>
      <c r="X13" s="1438"/>
      <c r="Y13" s="1438"/>
    </row>
    <row r="14" ht="6.75" customHeight="1">
      <c r="A14" s="2768"/>
      <c r="B14" s="2780"/>
      <c r="C14" s="2844"/>
      <c r="D14" s="2770" t="str">
        <f t="shared" ref="D14:G14" si="1">LINKURL(D7)</f>
        <v>https://reddit.com/r/RMTK/comments/agz1n5</v>
      </c>
      <c r="E14" s="2845" t="str">
        <f t="shared" si="1"/>
        <v>https://www.reddit.com/r/RMTK/comments/a9np8r/</v>
      </c>
      <c r="F14" s="2645" t="str">
        <f t="shared" si="1"/>
        <v>https://www.reddit.com/r/RMTK/comments/adxbtn/</v>
      </c>
      <c r="G14" s="2770" t="str">
        <f t="shared" si="1"/>
        <v>https://www.reddit.com/r/RMTK/comments/apwpjm/</v>
      </c>
      <c r="H14" s="2846"/>
      <c r="I14" s="1397"/>
      <c r="J14" s="1438"/>
      <c r="K14" s="1438"/>
      <c r="L14" s="1438"/>
      <c r="M14" s="1438"/>
      <c r="N14" s="1438"/>
      <c r="O14" s="1438"/>
      <c r="P14" s="1438"/>
      <c r="Q14" s="1438"/>
      <c r="R14" s="1438"/>
      <c r="S14" s="1438"/>
      <c r="T14" s="1438"/>
      <c r="U14" s="1438"/>
      <c r="V14" s="1438"/>
      <c r="W14" s="1438"/>
      <c r="X14" s="1438"/>
      <c r="Y14" s="1438"/>
    </row>
    <row r="15" ht="18.75" customHeight="1">
      <c r="A15" s="2519" t="s">
        <v>1958</v>
      </c>
      <c r="B15" s="2766" t="s">
        <v>31</v>
      </c>
      <c r="C15" s="2847" t="s">
        <v>1178</v>
      </c>
      <c r="D15" s="2522" t="s">
        <v>91</v>
      </c>
      <c r="E15" s="2694" t="s">
        <v>91</v>
      </c>
      <c r="F15" s="2523" t="s">
        <v>91</v>
      </c>
      <c r="G15" s="2522" t="s">
        <v>91</v>
      </c>
      <c r="H15" s="1438"/>
      <c r="I15" s="1438"/>
      <c r="J15" s="1438"/>
      <c r="K15" s="1438"/>
      <c r="L15" s="1438"/>
      <c r="M15" s="1438"/>
      <c r="N15" s="1438"/>
      <c r="O15" s="1438"/>
      <c r="P15" s="1438"/>
      <c r="Q15" s="1438"/>
      <c r="R15" s="1438"/>
      <c r="S15" s="1438"/>
      <c r="T15" s="1438"/>
      <c r="U15" s="1438"/>
      <c r="V15" s="1438"/>
      <c r="W15" s="1438"/>
      <c r="X15" s="1438"/>
      <c r="Y15" s="1438"/>
    </row>
    <row r="16" ht="18.75" customHeight="1">
      <c r="A16" s="158"/>
      <c r="B16" s="2848" t="s">
        <v>169</v>
      </c>
      <c r="C16" s="2849" t="s">
        <v>101</v>
      </c>
      <c r="D16" s="2522" t="s">
        <v>92</v>
      </c>
      <c r="E16" s="2795" t="s">
        <v>118</v>
      </c>
      <c r="F16" s="2706" t="s">
        <v>118</v>
      </c>
      <c r="G16" s="2705" t="s">
        <v>118</v>
      </c>
      <c r="H16" s="1438"/>
      <c r="I16" s="1438"/>
      <c r="J16" s="1438"/>
      <c r="K16" s="1438"/>
      <c r="L16" s="1438"/>
      <c r="M16" s="1438"/>
      <c r="N16" s="1438"/>
      <c r="O16" s="1438"/>
      <c r="P16" s="1438"/>
      <c r="Q16" s="1438"/>
      <c r="R16" s="1438"/>
      <c r="S16" s="1438"/>
      <c r="T16" s="1438"/>
      <c r="U16" s="1438"/>
      <c r="V16" s="1438"/>
      <c r="W16" s="1438"/>
      <c r="X16" s="1438"/>
      <c r="Y16" s="1438"/>
    </row>
    <row r="17" ht="18.75" customHeight="1">
      <c r="A17" s="158"/>
      <c r="C17" s="2850" t="s">
        <v>308</v>
      </c>
      <c r="D17" s="2705" t="s">
        <v>118</v>
      </c>
      <c r="E17" s="2694" t="s">
        <v>92</v>
      </c>
      <c r="F17" s="2523" t="s">
        <v>92</v>
      </c>
      <c r="G17" s="2522" t="s">
        <v>92</v>
      </c>
      <c r="H17" s="1438"/>
      <c r="I17" s="1438"/>
      <c r="J17" s="1438"/>
      <c r="K17" s="1438"/>
      <c r="L17" s="1438"/>
      <c r="M17" s="1438"/>
      <c r="N17" s="1438"/>
      <c r="O17" s="1438"/>
      <c r="P17" s="1438"/>
      <c r="Q17" s="1438"/>
      <c r="R17" s="1438"/>
      <c r="S17" s="1438"/>
      <c r="T17" s="1438"/>
      <c r="U17" s="1438"/>
      <c r="V17" s="1438"/>
      <c r="W17" s="1438"/>
      <c r="X17" s="1438"/>
      <c r="Y17" s="1438"/>
    </row>
    <row r="18" ht="18.75" customHeight="1">
      <c r="A18" s="158"/>
      <c r="B18" s="2851" t="s">
        <v>228</v>
      </c>
      <c r="C18" s="2852" t="s">
        <v>674</v>
      </c>
      <c r="D18" s="2522" t="s">
        <v>92</v>
      </c>
      <c r="E18" s="2694" t="s">
        <v>92</v>
      </c>
      <c r="F18" s="2523" t="s">
        <v>91</v>
      </c>
      <c r="G18" s="2522" t="s">
        <v>92</v>
      </c>
      <c r="H18" s="1438"/>
      <c r="I18" s="1438"/>
      <c r="J18" s="1438"/>
      <c r="K18" s="1438"/>
      <c r="L18" s="1438"/>
      <c r="M18" s="1438"/>
      <c r="N18" s="1438"/>
      <c r="O18" s="1438"/>
      <c r="P18" s="1438"/>
      <c r="Q18" s="1438"/>
      <c r="R18" s="1438"/>
      <c r="S18" s="1438"/>
      <c r="T18" s="1438"/>
      <c r="U18" s="1438"/>
      <c r="V18" s="1438"/>
      <c r="W18" s="1438"/>
      <c r="X18" s="1438"/>
      <c r="Y18" s="1438"/>
    </row>
    <row r="19" ht="18.75" customHeight="1">
      <c r="A19" s="158"/>
      <c r="B19" s="2853" t="s">
        <v>234</v>
      </c>
      <c r="C19" s="2854" t="s">
        <v>1173</v>
      </c>
      <c r="D19" s="2522" t="s">
        <v>93</v>
      </c>
      <c r="E19" s="2694" t="s">
        <v>93</v>
      </c>
      <c r="F19" s="2523" t="s">
        <v>93</v>
      </c>
      <c r="G19" s="2522" t="s">
        <v>93</v>
      </c>
      <c r="H19" s="1438"/>
      <c r="I19" s="1438"/>
      <c r="J19" s="1438"/>
      <c r="K19" s="1438"/>
      <c r="L19" s="1438"/>
      <c r="M19" s="1438"/>
      <c r="N19" s="1438"/>
      <c r="O19" s="1438"/>
      <c r="P19" s="1438"/>
      <c r="Q19" s="1438"/>
      <c r="R19" s="1438"/>
      <c r="S19" s="1438"/>
      <c r="T19" s="1438"/>
      <c r="U19" s="1438"/>
      <c r="V19" s="1438"/>
      <c r="W19" s="1438"/>
      <c r="X19" s="1438"/>
      <c r="Y19" s="1438"/>
    </row>
    <row r="20" ht="18.75" customHeight="1">
      <c r="A20" s="158"/>
      <c r="B20" s="2855" t="s">
        <v>1303</v>
      </c>
      <c r="C20" s="2856" t="s">
        <v>1382</v>
      </c>
      <c r="D20" s="2522" t="s">
        <v>91</v>
      </c>
      <c r="E20" s="2694" t="s">
        <v>93</v>
      </c>
      <c r="F20" s="2523" t="s">
        <v>93</v>
      </c>
      <c r="G20" s="2522" t="s">
        <v>91</v>
      </c>
      <c r="H20" s="1438"/>
      <c r="I20" s="1438"/>
      <c r="J20" s="1438"/>
      <c r="K20" s="1438"/>
      <c r="L20" s="1438"/>
      <c r="M20" s="1438"/>
      <c r="N20" s="1438"/>
      <c r="O20" s="1438"/>
      <c r="P20" s="1438"/>
      <c r="Q20" s="1438"/>
      <c r="R20" s="1438"/>
      <c r="S20" s="1438"/>
      <c r="T20" s="1438"/>
      <c r="U20" s="1438"/>
      <c r="V20" s="1438"/>
      <c r="W20" s="1438"/>
      <c r="X20" s="1438"/>
      <c r="Y20" s="1438"/>
    </row>
    <row r="21" ht="12.0" customHeight="1">
      <c r="A21" s="2768"/>
      <c r="B21" s="2780"/>
      <c r="C21" s="2781"/>
      <c r="D21" s="2253" t="str">
        <f t="shared" ref="D21:G21" si="2">CONCATENATE("{""status"": ", IF(GT(D22, D23), """aangenomen""", """verworpen"""), ", ""title"": """, D7, """, ""url"": """,D14  , """, ""voor"":", D22,", ""tegen"": ", D23, ", ""onthouden"":", D24, "}")</f>
        <v>{"status": "aangenomen", "title": "W0009", "url": "https://reddit.com/r/RMTK/comments/agz1n5", "voor":3, "tegen": 2, "onthouden":1}</v>
      </c>
      <c r="E21" s="2253" t="str">
        <f t="shared" si="2"/>
        <v>{"status": "aangenomen", "title": "W0005", "url": "https://www.reddit.com/r/RMTK/comments/a9np8r/", "voor":5, "tegen": 2, "onthouden":0}</v>
      </c>
      <c r="F21" s="2253" t="str">
        <f t="shared" si="2"/>
        <v>{"status": "aangenomen", "title": "W0007", "url": "https://www.reddit.com/r/RMTK/comments/adxbtn/", "voor":6, "tegen": 1, "onthouden":0}</v>
      </c>
      <c r="G21" s="2253" t="str">
        <f t="shared" si="2"/>
        <v>{"status": "aangenomen", "title": "W0010", "url": "https://www.reddit.com/r/RMTK/comments/apwpjm/", "voor":6, "tegen": 2, "onthouden":0}</v>
      </c>
      <c r="H21" s="2846"/>
      <c r="I21" s="1397"/>
      <c r="J21" s="1438"/>
      <c r="K21" s="1438"/>
      <c r="L21" s="1438"/>
      <c r="M21" s="1438"/>
      <c r="N21" s="1438"/>
      <c r="O21" s="1438"/>
      <c r="P21" s="1438"/>
      <c r="Q21" s="1438"/>
      <c r="R21" s="1438"/>
      <c r="S21" s="1438"/>
      <c r="T21" s="1438"/>
      <c r="U21" s="1438"/>
      <c r="V21" s="1438"/>
      <c r="W21" s="1438"/>
      <c r="X21" s="1438"/>
      <c r="Y21" s="1438"/>
    </row>
    <row r="22" ht="18.75" customHeight="1">
      <c r="A22" s="2660" t="s">
        <v>119</v>
      </c>
      <c r="B22" s="2661" t="s">
        <v>91</v>
      </c>
      <c r="D22" s="2662">
        <f t="shared" ref="D22:G22" si="3">COUNTIF(D6:D20,"Voor")</f>
        <v>3</v>
      </c>
      <c r="E22" s="2783">
        <f t="shared" si="3"/>
        <v>5</v>
      </c>
      <c r="F22" s="2783">
        <f t="shared" si="3"/>
        <v>6</v>
      </c>
      <c r="G22" s="2783">
        <f t="shared" si="3"/>
        <v>6</v>
      </c>
      <c r="H22" s="1438"/>
      <c r="I22" s="1438"/>
      <c r="J22" s="1438"/>
      <c r="K22" s="1438"/>
      <c r="L22" s="1438"/>
      <c r="M22" s="1438"/>
      <c r="N22" s="1438"/>
      <c r="O22" s="1438"/>
      <c r="P22" s="1438"/>
      <c r="Q22" s="1438"/>
      <c r="R22" s="1438"/>
      <c r="S22" s="1438"/>
      <c r="T22" s="1438"/>
      <c r="U22" s="1438"/>
      <c r="V22" s="1438"/>
      <c r="W22" s="1438"/>
      <c r="X22" s="1438"/>
      <c r="Y22" s="1438"/>
    </row>
    <row r="23" ht="18.75" customHeight="1">
      <c r="B23" s="2663" t="s">
        <v>92</v>
      </c>
      <c r="D23" s="2664">
        <f t="shared" ref="D23:G23" si="4">COUNTIF(D6:D20,"Tegen")</f>
        <v>2</v>
      </c>
      <c r="E23" s="2784">
        <f t="shared" si="4"/>
        <v>2</v>
      </c>
      <c r="F23" s="2784">
        <f t="shared" si="4"/>
        <v>1</v>
      </c>
      <c r="G23" s="2784">
        <f t="shared" si="4"/>
        <v>2</v>
      </c>
      <c r="H23" s="1438"/>
      <c r="I23" s="1438"/>
      <c r="J23" s="1438"/>
      <c r="K23" s="1438"/>
      <c r="L23" s="1438"/>
      <c r="M23" s="1438"/>
      <c r="N23" s="1438"/>
      <c r="O23" s="1438"/>
      <c r="P23" s="1438"/>
      <c r="Q23" s="1438"/>
      <c r="R23" s="1438"/>
      <c r="S23" s="1438"/>
      <c r="T23" s="1438"/>
      <c r="U23" s="1438"/>
      <c r="V23" s="1438"/>
      <c r="W23" s="1438"/>
      <c r="X23" s="1438"/>
      <c r="Y23" s="1438"/>
    </row>
    <row r="24" ht="18.75" customHeight="1">
      <c r="B24" s="2785" t="s">
        <v>120</v>
      </c>
      <c r="D24" s="2666">
        <f t="shared" ref="D24:G24" si="5">COUNTIF(D6:D20,"SO")</f>
        <v>1</v>
      </c>
      <c r="E24" s="2786">
        <f t="shared" si="5"/>
        <v>0</v>
      </c>
      <c r="F24" s="2786">
        <f t="shared" si="5"/>
        <v>0</v>
      </c>
      <c r="G24" s="2786">
        <f t="shared" si="5"/>
        <v>0</v>
      </c>
      <c r="H24" s="1438"/>
      <c r="I24" s="1438"/>
      <c r="J24" s="1438"/>
      <c r="K24" s="1438"/>
      <c r="L24" s="1438"/>
      <c r="M24" s="1438"/>
      <c r="N24" s="1438"/>
      <c r="O24" s="1438"/>
      <c r="P24" s="1438"/>
      <c r="Q24" s="1438"/>
      <c r="R24" s="1438"/>
      <c r="S24" s="1438"/>
      <c r="T24" s="1438"/>
      <c r="U24" s="1438"/>
      <c r="V24" s="1438"/>
      <c r="W24" s="1438"/>
      <c r="X24" s="1438"/>
      <c r="Y24" s="1438"/>
    </row>
    <row r="25" ht="18.75" customHeight="1">
      <c r="B25" s="2787" t="s">
        <v>121</v>
      </c>
      <c r="D25" s="2668">
        <f t="shared" ref="D25:G25" si="6">COUNTIF(D6:D20,"NG")</f>
        <v>3</v>
      </c>
      <c r="E25" s="2788">
        <f t="shared" si="6"/>
        <v>2</v>
      </c>
      <c r="F25" s="2788">
        <f t="shared" si="6"/>
        <v>2</v>
      </c>
      <c r="G25" s="2788">
        <f t="shared" si="6"/>
        <v>1</v>
      </c>
      <c r="H25" s="1438"/>
      <c r="I25" s="1438"/>
      <c r="J25" s="1438"/>
      <c r="K25" s="1438"/>
      <c r="L25" s="1438"/>
      <c r="M25" s="1438"/>
      <c r="N25" s="1438"/>
      <c r="O25" s="1438"/>
      <c r="P25" s="1438"/>
      <c r="Q25" s="1438"/>
      <c r="R25" s="1438"/>
      <c r="S25" s="1438"/>
      <c r="T25" s="1438"/>
      <c r="U25" s="1438"/>
      <c r="V25" s="1438"/>
      <c r="W25" s="1438"/>
      <c r="X25" s="1438"/>
      <c r="Y25" s="1438"/>
    </row>
    <row r="26" ht="18.75" customHeight="1">
      <c r="B26" s="2669" t="s">
        <v>122</v>
      </c>
      <c r="D26" s="2746">
        <f t="shared" ref="D26:G26" si="7">SUM(D22:D25)</f>
        <v>9</v>
      </c>
      <c r="E26" s="2670">
        <f t="shared" si="7"/>
        <v>9</v>
      </c>
      <c r="F26" s="2670">
        <f t="shared" si="7"/>
        <v>9</v>
      </c>
      <c r="G26" s="2670">
        <f t="shared" si="7"/>
        <v>9</v>
      </c>
      <c r="H26" s="1438"/>
      <c r="I26" s="1438"/>
      <c r="J26" s="1438"/>
      <c r="K26" s="1438"/>
      <c r="L26" s="1438"/>
      <c r="M26" s="1438"/>
      <c r="N26" s="1438"/>
      <c r="O26" s="1438"/>
      <c r="P26" s="1438"/>
      <c r="Q26" s="1438"/>
      <c r="R26" s="1438"/>
      <c r="S26" s="1438"/>
      <c r="T26" s="1438"/>
      <c r="U26" s="1438"/>
      <c r="V26" s="1438"/>
      <c r="W26" s="1438"/>
      <c r="X26" s="1438"/>
      <c r="Y26" s="1438"/>
    </row>
    <row r="27" ht="18.75" customHeight="1">
      <c r="B27" s="2671" t="s">
        <v>124</v>
      </c>
      <c r="D27" s="2747">
        <f t="shared" ref="D27:G27" si="8">D22+D23+D24</f>
        <v>6</v>
      </c>
      <c r="E27" s="2672">
        <f t="shared" si="8"/>
        <v>7</v>
      </c>
      <c r="F27" s="2672">
        <f t="shared" si="8"/>
        <v>7</v>
      </c>
      <c r="G27" s="2672">
        <f t="shared" si="8"/>
        <v>8</v>
      </c>
      <c r="H27" s="1438"/>
      <c r="I27" s="1438"/>
      <c r="J27" s="1438"/>
      <c r="K27" s="1438"/>
      <c r="L27" s="1438"/>
      <c r="M27" s="1438"/>
      <c r="N27" s="1438"/>
      <c r="O27" s="1438"/>
      <c r="P27" s="1438"/>
      <c r="Q27" s="1438"/>
      <c r="R27" s="1438"/>
      <c r="S27" s="1438"/>
      <c r="T27" s="1438"/>
      <c r="U27" s="1438"/>
      <c r="V27" s="1438"/>
      <c r="W27" s="1438"/>
      <c r="X27" s="1438"/>
      <c r="Y27" s="1438"/>
    </row>
    <row r="28" ht="18.75" customHeight="1">
      <c r="B28" s="2673" t="s">
        <v>125</v>
      </c>
      <c r="C28" s="131"/>
      <c r="D28" s="2748">
        <f t="shared" ref="D28:G28" si="9">IFERROR(D27/D26,"")</f>
        <v>0.6666666667</v>
      </c>
      <c r="E28" s="2674">
        <f t="shared" si="9"/>
        <v>0.7777777778</v>
      </c>
      <c r="F28" s="2674">
        <f t="shared" si="9"/>
        <v>0.7777777778</v>
      </c>
      <c r="G28" s="2674">
        <f t="shared" si="9"/>
        <v>0.8888888889</v>
      </c>
      <c r="H28" s="1438"/>
      <c r="I28" s="1438"/>
      <c r="J28" s="1438"/>
      <c r="K28" s="1438"/>
      <c r="L28" s="1438"/>
      <c r="M28" s="1438"/>
      <c r="N28" s="1438"/>
      <c r="O28" s="1438"/>
      <c r="P28" s="1438"/>
      <c r="Q28" s="1438"/>
      <c r="R28" s="1438"/>
      <c r="S28" s="1438"/>
      <c r="T28" s="1438"/>
      <c r="U28" s="1438"/>
      <c r="V28" s="1438"/>
      <c r="W28" s="1438"/>
      <c r="X28" s="1438"/>
      <c r="Y28" s="1438"/>
    </row>
    <row r="29" ht="18.75" customHeight="1">
      <c r="A29" s="2624"/>
      <c r="B29" s="2624"/>
      <c r="C29" s="2624"/>
      <c r="D29" s="1438"/>
      <c r="E29" s="1438"/>
      <c r="F29" s="1438"/>
      <c r="G29" s="1438"/>
      <c r="H29" s="1438"/>
      <c r="I29" s="1438"/>
      <c r="J29" s="1438"/>
      <c r="K29" s="1438"/>
      <c r="L29" s="1438"/>
      <c r="M29" s="1438"/>
      <c r="N29" s="1438"/>
      <c r="O29" s="1438"/>
      <c r="P29" s="1438"/>
      <c r="Q29" s="1438"/>
      <c r="R29" s="1438"/>
      <c r="S29" s="1438"/>
      <c r="T29" s="1438"/>
      <c r="U29" s="1438"/>
      <c r="V29" s="1438"/>
      <c r="W29" s="1438"/>
      <c r="X29" s="1438"/>
      <c r="Y29" s="1438"/>
    </row>
    <row r="30" ht="18.75" customHeight="1">
      <c r="A30" s="1438"/>
      <c r="B30" s="1438"/>
      <c r="C30" s="1438"/>
      <c r="D30" s="1438"/>
      <c r="E30" s="1438"/>
      <c r="F30" s="1438"/>
      <c r="G30" s="1438"/>
      <c r="H30" s="1438"/>
      <c r="I30" s="1438"/>
      <c r="J30" s="1438"/>
      <c r="K30" s="1438"/>
      <c r="L30" s="1438"/>
      <c r="M30" s="1438"/>
      <c r="N30" s="1438"/>
      <c r="O30" s="1438"/>
      <c r="P30" s="1438"/>
      <c r="Q30" s="1438"/>
      <c r="R30" s="1438"/>
      <c r="S30" s="1438"/>
      <c r="T30" s="1438"/>
      <c r="U30" s="1438"/>
      <c r="V30" s="1438"/>
      <c r="W30" s="1438"/>
      <c r="X30" s="1438"/>
      <c r="Y30" s="1438"/>
    </row>
  </sheetData>
  <mergeCells count="19">
    <mergeCell ref="A9:A13"/>
    <mergeCell ref="A15:A20"/>
    <mergeCell ref="B16:B17"/>
    <mergeCell ref="A22:A28"/>
    <mergeCell ref="H21:I21"/>
    <mergeCell ref="B22:C22"/>
    <mergeCell ref="B23:C23"/>
    <mergeCell ref="B24:C24"/>
    <mergeCell ref="B25:C25"/>
    <mergeCell ref="B26:C26"/>
    <mergeCell ref="B27:C27"/>
    <mergeCell ref="B28:C28"/>
    <mergeCell ref="A2:C2"/>
    <mergeCell ref="D2:K2"/>
    <mergeCell ref="A4:C4"/>
    <mergeCell ref="D4:G6"/>
    <mergeCell ref="A5:C6"/>
    <mergeCell ref="B12:B13"/>
    <mergeCell ref="H14:I14"/>
  </mergeCells>
  <conditionalFormatting sqref="D9:D12 E9:G11 E13:G13 D15:D16 E15:G15 E17:G20 D18:D20">
    <cfRule type="containsText" dxfId="4" priority="1" operator="containsText" text="voor">
      <formula>NOT(ISERROR(SEARCH(("voor"),(D9))))</formula>
    </cfRule>
  </conditionalFormatting>
  <conditionalFormatting sqref="D9:D12 E9:G11 E13:G15 D14:D16 E17:G20 D18:D20">
    <cfRule type="containsText" dxfId="2" priority="2" operator="containsText" text="SO">
      <formula>NOT(ISERROR(SEARCH(("SO"),(D9))))</formula>
    </cfRule>
  </conditionalFormatting>
  <conditionalFormatting sqref="D14:G14">
    <cfRule type="containsText" dxfId="36" priority="3" operator="containsText" text="voor">
      <formula>NOT(ISERROR(SEARCH(("voor"),(D14))))</formula>
    </cfRule>
  </conditionalFormatting>
  <conditionalFormatting sqref="D9:D12 E9:G11 E13:G15 D14:D16 E17:G20 D18:D20">
    <cfRule type="containsText" dxfId="5" priority="4" operator="containsText" text="NG">
      <formula>NOT(ISERROR(SEARCH(("NG"),(D9))))</formula>
    </cfRule>
  </conditionalFormatting>
  <conditionalFormatting sqref="D9:D12 E9:G11 E13:G15 D14:D16 E17:G20 D18:D20">
    <cfRule type="containsText" dxfId="6" priority="5" operator="containsText" text="NVT">
      <formula>NOT(ISERROR(SEARCH(("NVT"),(D9))))</formula>
    </cfRule>
  </conditionalFormatting>
  <conditionalFormatting sqref="A1:G3 H1:H30 I1:Y29 D9 A29:C29 D29:G30">
    <cfRule type="containsText" dxfId="27" priority="6" operator="containsText" text="SO">
      <formula>NOT(ISERROR(SEARCH(("SO"),(A1))))</formula>
    </cfRule>
  </conditionalFormatting>
  <conditionalFormatting sqref="A1:G3 H1:H30 I1:Y29 D9 A29:C29 D29:G30">
    <cfRule type="containsText" dxfId="28" priority="7" operator="containsText" text="N.v.t.">
      <formula>NOT(ISERROR(SEARCH(("N.v.t."),(A1))))</formula>
    </cfRule>
  </conditionalFormatting>
  <conditionalFormatting sqref="A1:G3 H1:H30 I1:Y29 D9 A29:C29 D29:G30">
    <cfRule type="containsText" dxfId="29" priority="8" operator="containsText" text="Voor">
      <formula>NOT(ISERROR(SEARCH(("Voor"),(A1))))</formula>
    </cfRule>
  </conditionalFormatting>
  <conditionalFormatting sqref="A1:G3 H1:H30 I1:Y29 D9 A29:C29 D29:G30">
    <cfRule type="containsText" dxfId="30" priority="9" operator="containsText" text="Tegen">
      <formula>NOT(ISERROR(SEARCH(("Tegen"),(A1))))</formula>
    </cfRule>
  </conditionalFormatting>
  <conditionalFormatting sqref="A1:G3 H1:H30 I1:Y29 D9 A29:C29 D29:G30">
    <cfRule type="containsText" dxfId="31" priority="10" operator="containsText" text="N.v.t.">
      <formula>NOT(ISERROR(SEARCH(("N.v.t."),(A1))))</formula>
    </cfRule>
  </conditionalFormatting>
  <conditionalFormatting sqref="A1:G3 H1:H30 I1:Y29 D9 A29:C29 D29:G30">
    <cfRule type="cellIs" dxfId="27" priority="11" operator="equal">
      <formula>"SO"</formula>
    </cfRule>
  </conditionalFormatting>
  <conditionalFormatting sqref="A1:G3 H1:H30 I1:Y29 D9 A29:C29 D29:G30">
    <cfRule type="cellIs" dxfId="32" priority="12" operator="equal">
      <formula>"NG"</formula>
    </cfRule>
  </conditionalFormatting>
  <conditionalFormatting sqref="A1:A5 B1:C4 D1:G6 H1:H30 I1:Y29 A7:B29 C7:C14 D8:D12 E8:G11 E13:G15 D14:D16 C17:C29 E17:G20 D18:D20 D22:G30">
    <cfRule type="containsText" dxfId="0" priority="13" operator="containsText" text="voor">
      <formula>NOT(ISERROR(SEARCH(("voor"),(A1))))</formula>
    </cfRule>
  </conditionalFormatting>
  <conditionalFormatting sqref="A1:A5 B1:C4 D1:G6 H1:H30 I1:Y29 A7:B29 C7:C14 D8:D12 E8:G11 E13:G15 D14:D16 C17:C29 E17:G20 D18:D20 D22:G30">
    <cfRule type="containsText" dxfId="1" priority="14" operator="containsText" text="tegen">
      <formula>NOT(ISERROR(SEARCH(("tegen"),(A1))))</formula>
    </cfRule>
  </conditionalFormatting>
  <conditionalFormatting sqref="A1:C3 D1:G6 H1:H30 I1:Y29 D8:D12 E8:G11 E13:G15 D14:D16 E17:G20 D18:D20 D22:G30 A29:C29">
    <cfRule type="containsText" dxfId="33" priority="15" operator="containsText" text="SO">
      <formula>NOT(ISERROR(SEARCH(("SO"),(A1))))</formula>
    </cfRule>
  </conditionalFormatting>
  <conditionalFormatting sqref="A1:C3 D1:G6 H1:H30 I1:Y29 D8:D12 E8:G11 E13:G15 D14:D16 E17:G20 D18:D20 D22:G30 A29:C29">
    <cfRule type="containsText" dxfId="34" priority="16" operator="containsText" text="NG">
      <formula>NOT(ISERROR(SEARCH(("NG"),(A1))))</formula>
    </cfRule>
  </conditionalFormatting>
  <drawing r:id="rId1"/>
</worksheet>
</file>

<file path=xl/worksheets/sheet3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CC4125"/>
    <outlinePr summaryBelow="0" summaryRight="0"/>
  </sheetPr>
  <sheetViews>
    <sheetView workbookViewId="0">
      <pane xSplit="3.0" ySplit="5.0" topLeftCell="D6" activePane="bottomRight" state="frozen"/>
      <selection activeCell="D1" sqref="D1" pane="topRight"/>
      <selection activeCell="A6" sqref="A6" pane="bottomLeft"/>
      <selection activeCell="D6" sqref="D6" pane="bottomRight"/>
    </sheetView>
  </sheetViews>
  <sheetFormatPr customHeight="1" defaultColWidth="14.43" defaultRowHeight="15.75"/>
  <cols>
    <col customWidth="1" min="1" max="1" width="10.86"/>
    <col customWidth="1" min="2" max="2" width="11.0"/>
    <col customWidth="1" min="3" max="3" width="26.29"/>
  </cols>
  <sheetData>
    <row r="1" ht="18.75" customHeight="1">
      <c r="A1" s="2501" t="s">
        <v>126</v>
      </c>
      <c r="B1" s="2502"/>
      <c r="C1" s="2502"/>
      <c r="D1" s="2502"/>
      <c r="E1" s="2502"/>
      <c r="F1" s="2502"/>
      <c r="G1" s="2502"/>
      <c r="H1" s="2502"/>
      <c r="I1" s="2502"/>
      <c r="J1" s="2502"/>
      <c r="K1" s="2502"/>
      <c r="L1" s="2502"/>
      <c r="M1" s="2502"/>
      <c r="N1" s="2502"/>
      <c r="O1" s="2502"/>
      <c r="P1" s="2502"/>
      <c r="Q1" s="2502"/>
      <c r="R1" s="2502"/>
      <c r="S1" s="2502"/>
      <c r="T1" s="2502"/>
      <c r="U1" s="2502"/>
      <c r="V1" s="2502"/>
      <c r="W1" s="2502"/>
      <c r="X1" s="2502"/>
      <c r="Y1" s="2502"/>
      <c r="Z1" s="2502"/>
      <c r="AA1" s="2502"/>
      <c r="AB1" s="2502"/>
      <c r="AC1" s="2502"/>
      <c r="AD1" s="2502"/>
      <c r="AE1" s="2502"/>
      <c r="AF1" s="2502"/>
      <c r="AG1" s="2502"/>
    </row>
    <row r="2" ht="18.75" customHeight="1">
      <c r="A2" s="2505" t="s">
        <v>1029</v>
      </c>
      <c r="B2" s="131"/>
      <c r="C2" s="132"/>
      <c r="D2" s="2857" t="s">
        <v>1951</v>
      </c>
    </row>
    <row r="3" ht="18.75" customHeight="1">
      <c r="A3" s="2858" t="s">
        <v>1959</v>
      </c>
      <c r="C3" s="135"/>
    </row>
    <row r="4" ht="18.75" customHeight="1">
      <c r="C4" s="135"/>
      <c r="D4" s="330"/>
      <c r="E4" s="330"/>
      <c r="F4" s="330"/>
      <c r="G4" s="330"/>
      <c r="H4" s="330"/>
      <c r="I4" s="330"/>
      <c r="J4" s="330"/>
      <c r="K4" s="330"/>
      <c r="L4" s="330"/>
      <c r="M4" s="330"/>
      <c r="N4" s="330"/>
      <c r="O4" s="330"/>
      <c r="P4" s="330"/>
      <c r="Q4" s="330"/>
      <c r="R4" s="330"/>
      <c r="S4" s="330"/>
      <c r="T4" s="330"/>
      <c r="U4" s="330"/>
      <c r="V4" s="330"/>
      <c r="W4" s="330"/>
      <c r="X4" s="330"/>
      <c r="Y4" s="330"/>
      <c r="Z4" s="330"/>
      <c r="AA4" s="330"/>
      <c r="AB4" s="330"/>
      <c r="AC4" s="330"/>
      <c r="AD4" s="330"/>
      <c r="AE4" s="330"/>
      <c r="AF4" s="330"/>
      <c r="AG4" s="330"/>
    </row>
    <row r="5" ht="18.75" customHeight="1">
      <c r="A5" s="2508" t="s">
        <v>86</v>
      </c>
      <c r="B5" s="2509" t="s">
        <v>87</v>
      </c>
      <c r="C5" s="2510" t="s">
        <v>88</v>
      </c>
      <c r="D5" s="2511" t="str">
        <f>HYPERLINK("https://www.reddit.com/r/RMTK/comments/9uhc7u/","M0002")</f>
        <v>M0002</v>
      </c>
      <c r="E5" s="2758" t="str">
        <f>HYPERLINK("https://www.reddit.com/r/RMTK/comments/9v3mni", "M0003")</f>
        <v>M0003</v>
      </c>
      <c r="F5" s="2758" t="str">
        <f>HYPERLINK("https://www.reddit.com/r/RMTK/comments/9vbs93","M0004")</f>
        <v>M0004</v>
      </c>
      <c r="G5" s="2758" t="str">
        <f>HYPERLINK("https://www.reddit.com/r/RMTK/comments/9uriq3", "W0001")</f>
        <v>W0001</v>
      </c>
      <c r="H5" s="2758" t="str">
        <f>HYPERLINK("https://www.reddit.com/r/RMTK/comments/9xaw30", "M0005")</f>
        <v>M0005</v>
      </c>
      <c r="I5" s="2758" t="str">
        <f>HYPERLINK("https://www.reddit.com/r/RMTK/comments/9uriq3", "W0002")</f>
        <v>W0002</v>
      </c>
      <c r="J5" s="2758" t="str">
        <f>HYPERLINK("https://reddit.com/r/RMTK/comments/9yb2l5", "M0006")</f>
        <v>M0006</v>
      </c>
      <c r="K5" s="2758" t="str">
        <f>HYPERLINK("https://reddit.com/r/RMTK/comments/9yw1yh/", "M0007")</f>
        <v>M0007</v>
      </c>
      <c r="L5" s="2758" t="str">
        <f>HYPERLINK("https://www.reddit.com/r/RMTK/comments/a0hbsz/","M0008")</f>
        <v>M0008</v>
      </c>
      <c r="M5" s="2758" t="str">
        <f>HYPERLINK("https://reddit.com/r/RMTK/comments/a157uw/", "M0009")</f>
        <v>M0009</v>
      </c>
      <c r="N5" s="2758" t="str">
        <f>HYPERLINK("https://www.reddit.com/r/RMTK/comments/a1lug6/", "W0003-I")</f>
        <v>W0003-I</v>
      </c>
      <c r="O5" s="2758" t="str">
        <f>HYPERLINK("https://www.reddit.com/r/RMTK/comments/a3evk8/","M0010")</f>
        <v>M0010</v>
      </c>
      <c r="P5" s="2758" t="str">
        <f>HYPERLINK("https://www.reddit.com/r/RMTK/comments/a0wpec/","W0003")</f>
        <v>W0003</v>
      </c>
      <c r="Q5" s="2758" t="str">
        <f>HYPERLINK("https://reddit.com/r/RMTK/comments/a4kfpa", "M0011")</f>
        <v>M0011</v>
      </c>
      <c r="R5" s="2758" t="str">
        <f>HYPERLINK("https://reddit.com/r/RMTK/comments/a4x47a", "M0012")</f>
        <v>M0012</v>
      </c>
      <c r="S5" s="2758" t="str">
        <f>HYPERLINK("https://reddit.com/r/RMTK/comments/a6yip8", "M0013")</f>
        <v>M0013</v>
      </c>
      <c r="T5" s="2758" t="str">
        <f>HYPERLINK("https://reddit.com/r/RMTK/comments/a7lfim", "W0004")</f>
        <v>W0004</v>
      </c>
      <c r="U5" s="2758" t="str">
        <f>HYPERLINK("https://reddit.com/r/RMTK/comments/a9e3yl", "M0014")</f>
        <v>M0014</v>
      </c>
      <c r="V5" s="2758" t="str">
        <f>HYPERLINK("https://reddit.com/r/RMTK/comments/abmvb8", "M0015")</f>
        <v>M0015</v>
      </c>
      <c r="W5" s="2758" t="str">
        <f>HYPERLINK("https://reddit.com/r/RMTK/comments/abwerm", "W0006")</f>
        <v>W0006</v>
      </c>
      <c r="X5" s="2758" t="str">
        <f>HYPERLINK("https://reddit.com/r/RMTK/comments/acgtkp", "M0016")</f>
        <v>M0016</v>
      </c>
      <c r="Y5" s="2758" t="str">
        <f>HYPERLINK("https://reddit.com/r/RMTK/comments/acl9yo", "W0005-I")</f>
        <v>W0005-I</v>
      </c>
      <c r="Z5" s="2758" t="str">
        <f>HYPERLINK("https://reddit.com/r/RMTK/comments/acy21s", "W0005-II")</f>
        <v>W0005-II</v>
      </c>
      <c r="AA5" s="2758" t="str">
        <f>HYPERLINK("https://reddit.com/r/RMTK/comments/adl4nh", "M0017")</f>
        <v>M0017</v>
      </c>
      <c r="AB5" s="2758" t="str">
        <f>HYPERLINK("https://reddit.com/r/RMTK/comments/ae7cyz", "M0018")</f>
        <v>M0018</v>
      </c>
      <c r="AC5" s="2758" t="str">
        <f>HYPERLINK("https://reddit.com/r/RMTK/comments/aeu8iv", "M0019")</f>
        <v>M0019</v>
      </c>
      <c r="AD5" s="2758" t="str">
        <f>HYPERLINK("https://reddit.com/r/RMTK/comments/aehqrq", "W0008")</f>
        <v>W0008</v>
      </c>
      <c r="AE5" s="2758" t="str">
        <f>HYPERLINK("https://reddit.com/r/RMTK/comments/agckzr", "W0007-I")</f>
        <v>W0007-I</v>
      </c>
      <c r="AF5" s="2758" t="str">
        <f>HYPERLINK("https://reddit.com/r/RMTK/comments/agz1n5", "W0009")</f>
        <v>W0009</v>
      </c>
      <c r="AG5" s="2758" t="str">
        <f>HYPERLINK("https://reddit.com/r/RMTK/comments/aiejgc", "TE0001")</f>
        <v>TE0001</v>
      </c>
    </row>
    <row r="6" ht="6.0" customHeight="1">
      <c r="A6" s="2513"/>
      <c r="B6" s="2514"/>
      <c r="C6" s="2514"/>
      <c r="D6" s="2676"/>
      <c r="E6" s="2790"/>
      <c r="F6" s="2790"/>
      <c r="G6" s="2790"/>
      <c r="H6" s="2790"/>
      <c r="I6" s="2790"/>
      <c r="J6" s="2790"/>
      <c r="K6" s="2790"/>
      <c r="L6" s="2790"/>
      <c r="M6" s="2790"/>
      <c r="N6" s="2790"/>
      <c r="O6" s="2790"/>
      <c r="P6" s="2790"/>
      <c r="Q6" s="2790"/>
      <c r="R6" s="2790"/>
      <c r="S6" s="2790"/>
      <c r="T6" s="2790"/>
      <c r="U6" s="2790"/>
      <c r="V6" s="2790"/>
      <c r="W6" s="2790"/>
      <c r="X6" s="2790"/>
      <c r="Y6" s="2790"/>
      <c r="Z6" s="2790"/>
      <c r="AA6" s="2859"/>
      <c r="AB6" s="2859"/>
      <c r="AC6" s="2859"/>
      <c r="AD6" s="2859"/>
      <c r="AE6" s="2859"/>
      <c r="AF6" s="2859"/>
      <c r="AG6" s="2859"/>
    </row>
    <row r="7" ht="18.75" customHeight="1">
      <c r="A7" s="2519" t="s">
        <v>1960</v>
      </c>
      <c r="B7" s="2860" t="s">
        <v>1287</v>
      </c>
      <c r="C7" s="2861" t="s">
        <v>1325</v>
      </c>
      <c r="D7" s="2522" t="s">
        <v>1702</v>
      </c>
      <c r="E7" s="2522" t="s">
        <v>1702</v>
      </c>
      <c r="F7" s="2522" t="s">
        <v>1703</v>
      </c>
      <c r="G7" s="2523" t="s">
        <v>1702</v>
      </c>
      <c r="H7" s="2522" t="s">
        <v>1702</v>
      </c>
      <c r="I7" s="2523" t="s">
        <v>1702</v>
      </c>
      <c r="J7" s="2522" t="s">
        <v>117</v>
      </c>
      <c r="K7" s="2523" t="s">
        <v>1702</v>
      </c>
      <c r="L7" s="2522" t="s">
        <v>1702</v>
      </c>
      <c r="M7" s="2522" t="s">
        <v>1702</v>
      </c>
      <c r="N7" s="2523" t="s">
        <v>117</v>
      </c>
      <c r="O7" s="2523" t="s">
        <v>1702</v>
      </c>
      <c r="P7" s="2522" t="s">
        <v>1702</v>
      </c>
      <c r="Q7" s="2522" t="s">
        <v>1702</v>
      </c>
      <c r="R7" s="2523" t="s">
        <v>1703</v>
      </c>
      <c r="S7" s="2523" t="s">
        <v>1703</v>
      </c>
      <c r="T7" s="2862" t="s">
        <v>1702</v>
      </c>
      <c r="U7" s="2863" t="s">
        <v>1702</v>
      </c>
      <c r="V7" s="2522" t="s">
        <v>92</v>
      </c>
      <c r="W7" s="2522" t="s">
        <v>91</v>
      </c>
      <c r="X7" s="2522" t="s">
        <v>91</v>
      </c>
      <c r="Y7" s="2522" t="s">
        <v>117</v>
      </c>
      <c r="Z7" s="2523" t="s">
        <v>117</v>
      </c>
      <c r="AA7" s="2522" t="s">
        <v>91</v>
      </c>
      <c r="AB7" s="2522" t="s">
        <v>92</v>
      </c>
      <c r="AC7" s="2522" t="s">
        <v>91</v>
      </c>
      <c r="AD7" s="2522" t="s">
        <v>91</v>
      </c>
      <c r="AE7" s="2694" t="s">
        <v>91</v>
      </c>
      <c r="AF7" s="2523" t="s">
        <v>91</v>
      </c>
      <c r="AG7" s="2522" t="s">
        <v>91</v>
      </c>
    </row>
    <row r="8" ht="18.75" customHeight="1">
      <c r="A8" s="158"/>
      <c r="B8" s="135"/>
      <c r="C8" s="2864" t="s">
        <v>1326</v>
      </c>
      <c r="D8" s="2522" t="s">
        <v>1703</v>
      </c>
      <c r="E8" s="2522" t="s">
        <v>1703</v>
      </c>
      <c r="F8" s="2522" t="s">
        <v>1703</v>
      </c>
      <c r="G8" s="2523" t="s">
        <v>1702</v>
      </c>
      <c r="H8" s="2522" t="s">
        <v>1702</v>
      </c>
      <c r="I8" s="2523" t="s">
        <v>1702</v>
      </c>
      <c r="J8" s="2522" t="s">
        <v>1703</v>
      </c>
      <c r="K8" s="2523" t="s">
        <v>1702</v>
      </c>
      <c r="L8" s="2522" t="s">
        <v>1702</v>
      </c>
      <c r="M8" s="2522" t="s">
        <v>1702</v>
      </c>
      <c r="N8" s="2523" t="s">
        <v>1702</v>
      </c>
      <c r="O8" s="2523" t="s">
        <v>93</v>
      </c>
      <c r="P8" s="2522" t="s">
        <v>1702</v>
      </c>
      <c r="Q8" s="2522" t="s">
        <v>1702</v>
      </c>
      <c r="R8" s="2523" t="s">
        <v>1703</v>
      </c>
      <c r="S8" s="2523" t="s">
        <v>1703</v>
      </c>
      <c r="T8" s="2527" t="s">
        <v>93</v>
      </c>
      <c r="U8" s="2523" t="s">
        <v>93</v>
      </c>
      <c r="V8" s="2522" t="s">
        <v>93</v>
      </c>
      <c r="W8" s="2522" t="s">
        <v>93</v>
      </c>
      <c r="X8" s="2522" t="s">
        <v>93</v>
      </c>
      <c r="Y8" s="2522" t="s">
        <v>93</v>
      </c>
      <c r="Z8" s="2523" t="s">
        <v>93</v>
      </c>
      <c r="AA8" s="2522" t="s">
        <v>93</v>
      </c>
      <c r="AB8" s="2522" t="s">
        <v>93</v>
      </c>
      <c r="AC8" s="2522" t="s">
        <v>93</v>
      </c>
      <c r="AD8" s="2522" t="s">
        <v>93</v>
      </c>
      <c r="AE8" s="2694" t="s">
        <v>118</v>
      </c>
      <c r="AF8" s="2523" t="s">
        <v>118</v>
      </c>
      <c r="AG8" s="2705" t="s">
        <v>118</v>
      </c>
    </row>
    <row r="9" ht="18.75" customHeight="1">
      <c r="A9" s="158"/>
      <c r="B9" s="135"/>
      <c r="C9" s="2802" t="s">
        <v>294</v>
      </c>
      <c r="D9" s="2522" t="s">
        <v>118</v>
      </c>
      <c r="E9" s="2522" t="s">
        <v>118</v>
      </c>
      <c r="F9" s="2522" t="s">
        <v>118</v>
      </c>
      <c r="G9" s="2523" t="s">
        <v>118</v>
      </c>
      <c r="H9" s="2522" t="s">
        <v>118</v>
      </c>
      <c r="I9" s="2523" t="s">
        <v>118</v>
      </c>
      <c r="J9" s="2522" t="s">
        <v>118</v>
      </c>
      <c r="K9" s="2523" t="s">
        <v>118</v>
      </c>
      <c r="L9" s="2522" t="s">
        <v>118</v>
      </c>
      <c r="M9" s="2522" t="s">
        <v>118</v>
      </c>
      <c r="N9" s="2523" t="s">
        <v>118</v>
      </c>
      <c r="O9" s="2523" t="s">
        <v>118</v>
      </c>
      <c r="P9" s="2522" t="s">
        <v>118</v>
      </c>
      <c r="Q9" s="2522" t="s">
        <v>118</v>
      </c>
      <c r="R9" s="2523" t="s">
        <v>118</v>
      </c>
      <c r="S9" s="2523" t="s">
        <v>118</v>
      </c>
      <c r="T9" s="2522" t="s">
        <v>118</v>
      </c>
      <c r="U9" s="2523" t="s">
        <v>118</v>
      </c>
      <c r="V9" s="2522" t="s">
        <v>118</v>
      </c>
      <c r="W9" s="2522" t="s">
        <v>118</v>
      </c>
      <c r="X9" s="2522" t="s">
        <v>118</v>
      </c>
      <c r="Y9" s="2522" t="s">
        <v>118</v>
      </c>
      <c r="Z9" s="2523" t="s">
        <v>118</v>
      </c>
      <c r="AA9" s="2522" t="s">
        <v>118</v>
      </c>
      <c r="AB9" s="2522" t="s">
        <v>118</v>
      </c>
      <c r="AC9" s="2522" t="s">
        <v>118</v>
      </c>
      <c r="AD9" s="2522" t="s">
        <v>118</v>
      </c>
      <c r="AE9" s="2694" t="s">
        <v>91</v>
      </c>
      <c r="AF9" s="2523" t="s">
        <v>91</v>
      </c>
      <c r="AG9" s="2522" t="s">
        <v>91</v>
      </c>
    </row>
    <row r="10" ht="18.75" customHeight="1">
      <c r="A10" s="158"/>
      <c r="B10" s="135"/>
      <c r="C10" s="2802" t="s">
        <v>1328</v>
      </c>
      <c r="D10" s="2522" t="s">
        <v>118</v>
      </c>
      <c r="E10" s="2522" t="s">
        <v>118</v>
      </c>
      <c r="F10" s="2522" t="s">
        <v>118</v>
      </c>
      <c r="G10" s="2523" t="s">
        <v>118</v>
      </c>
      <c r="H10" s="2522" t="s">
        <v>118</v>
      </c>
      <c r="I10" s="2523" t="s">
        <v>118</v>
      </c>
      <c r="J10" s="2522" t="s">
        <v>118</v>
      </c>
      <c r="K10" s="2523" t="s">
        <v>118</v>
      </c>
      <c r="L10" s="2522" t="s">
        <v>118</v>
      </c>
      <c r="M10" s="2522" t="s">
        <v>118</v>
      </c>
      <c r="N10" s="2523" t="s">
        <v>118</v>
      </c>
      <c r="O10" s="2523" t="s">
        <v>118</v>
      </c>
      <c r="P10" s="2522" t="s">
        <v>118</v>
      </c>
      <c r="Q10" s="2522" t="s">
        <v>118</v>
      </c>
      <c r="R10" s="2523" t="s">
        <v>118</v>
      </c>
      <c r="S10" s="2523" t="s">
        <v>1703</v>
      </c>
      <c r="T10" s="2862" t="s">
        <v>1702</v>
      </c>
      <c r="U10" s="2863" t="s">
        <v>1702</v>
      </c>
      <c r="V10" s="2865" t="s">
        <v>92</v>
      </c>
      <c r="W10" s="2522" t="s">
        <v>91</v>
      </c>
      <c r="X10" s="2522" t="s">
        <v>91</v>
      </c>
      <c r="Y10" s="2522" t="s">
        <v>91</v>
      </c>
      <c r="Z10" s="2523" t="s">
        <v>91</v>
      </c>
      <c r="AA10" s="2522" t="s">
        <v>93</v>
      </c>
      <c r="AB10" s="2522" t="s">
        <v>93</v>
      </c>
      <c r="AC10" s="2522" t="s">
        <v>93</v>
      </c>
      <c r="AD10" s="2522" t="s">
        <v>93</v>
      </c>
      <c r="AE10" s="2866" t="s">
        <v>93</v>
      </c>
      <c r="AF10" s="2523" t="s">
        <v>93</v>
      </c>
      <c r="AG10" s="2522" t="s">
        <v>91</v>
      </c>
    </row>
    <row r="11" ht="18.75" customHeight="1">
      <c r="A11" s="158"/>
      <c r="B11" s="135"/>
      <c r="C11" s="2864" t="s">
        <v>1327</v>
      </c>
      <c r="D11" s="2522" t="s">
        <v>93</v>
      </c>
      <c r="E11" s="2522" t="s">
        <v>93</v>
      </c>
      <c r="F11" s="2522" t="s">
        <v>93</v>
      </c>
      <c r="G11" s="2523" t="s">
        <v>93</v>
      </c>
      <c r="H11" s="2522" t="s">
        <v>1703</v>
      </c>
      <c r="I11" s="2523" t="s">
        <v>1702</v>
      </c>
      <c r="J11" s="2522" t="s">
        <v>93</v>
      </c>
      <c r="K11" s="2523" t="s">
        <v>93</v>
      </c>
      <c r="L11" s="2522" t="s">
        <v>93</v>
      </c>
      <c r="M11" s="2522" t="s">
        <v>93</v>
      </c>
      <c r="N11" s="2523" t="s">
        <v>93</v>
      </c>
      <c r="O11" s="2523" t="s">
        <v>93</v>
      </c>
      <c r="P11" s="2522" t="s">
        <v>93</v>
      </c>
      <c r="Q11" s="2522" t="s">
        <v>93</v>
      </c>
      <c r="R11" s="2523" t="s">
        <v>93</v>
      </c>
      <c r="S11" s="2523" t="s">
        <v>118</v>
      </c>
      <c r="T11" s="2522" t="s">
        <v>118</v>
      </c>
      <c r="U11" s="2523" t="s">
        <v>118</v>
      </c>
      <c r="V11" s="2522" t="s">
        <v>118</v>
      </c>
      <c r="W11" s="2522" t="s">
        <v>118</v>
      </c>
      <c r="X11" s="2522" t="s">
        <v>118</v>
      </c>
      <c r="Y11" s="2522" t="s">
        <v>118</v>
      </c>
      <c r="Z11" s="2523" t="s">
        <v>118</v>
      </c>
      <c r="AA11" s="2522" t="s">
        <v>118</v>
      </c>
      <c r="AB11" s="2522" t="s">
        <v>118</v>
      </c>
      <c r="AC11" s="2522" t="s">
        <v>118</v>
      </c>
      <c r="AD11" s="2522" t="s">
        <v>118</v>
      </c>
      <c r="AE11" s="2694" t="s">
        <v>118</v>
      </c>
      <c r="AF11" s="2523" t="s">
        <v>118</v>
      </c>
      <c r="AG11" s="2705" t="s">
        <v>118</v>
      </c>
    </row>
    <row r="12" ht="18.75" customHeight="1">
      <c r="A12" s="158"/>
      <c r="B12" s="135"/>
      <c r="C12" s="2802" t="s">
        <v>1329</v>
      </c>
      <c r="D12" s="2522" t="s">
        <v>1702</v>
      </c>
      <c r="E12" s="2522" t="s">
        <v>1702</v>
      </c>
      <c r="F12" s="2522" t="s">
        <v>1703</v>
      </c>
      <c r="G12" s="2523" t="s">
        <v>1702</v>
      </c>
      <c r="H12" s="2522" t="s">
        <v>93</v>
      </c>
      <c r="I12" s="2523" t="s">
        <v>93</v>
      </c>
      <c r="J12" s="2522" t="s">
        <v>93</v>
      </c>
      <c r="K12" s="2523" t="s">
        <v>93</v>
      </c>
      <c r="L12" s="2522" t="s">
        <v>1702</v>
      </c>
      <c r="M12" s="2522" t="s">
        <v>1702</v>
      </c>
      <c r="N12" s="2523" t="s">
        <v>1702</v>
      </c>
      <c r="O12" s="2523" t="s">
        <v>1702</v>
      </c>
      <c r="P12" s="2522" t="s">
        <v>1702</v>
      </c>
      <c r="Q12" s="2522" t="s">
        <v>1702</v>
      </c>
      <c r="R12" s="2523" t="s">
        <v>1703</v>
      </c>
      <c r="S12" s="2523" t="s">
        <v>1703</v>
      </c>
      <c r="T12" s="2522" t="s">
        <v>1703</v>
      </c>
      <c r="U12" s="2523" t="s">
        <v>1703</v>
      </c>
      <c r="V12" s="2522" t="s">
        <v>91</v>
      </c>
      <c r="W12" s="2522" t="s">
        <v>91</v>
      </c>
      <c r="X12" s="2522" t="s">
        <v>92</v>
      </c>
      <c r="Y12" s="2522" t="s">
        <v>91</v>
      </c>
      <c r="Z12" s="2523" t="s">
        <v>91</v>
      </c>
      <c r="AA12" s="2522" t="s">
        <v>91</v>
      </c>
      <c r="AB12" s="2522" t="s">
        <v>91</v>
      </c>
      <c r="AC12" s="2522" t="s">
        <v>91</v>
      </c>
      <c r="AD12" s="2522" t="s">
        <v>91</v>
      </c>
      <c r="AE12" s="2694" t="s">
        <v>91</v>
      </c>
      <c r="AF12" s="2523" t="s">
        <v>91</v>
      </c>
      <c r="AG12" s="2522" t="s">
        <v>93</v>
      </c>
    </row>
    <row r="13" ht="18.75" customHeight="1">
      <c r="A13" s="158"/>
      <c r="B13" s="135"/>
      <c r="C13" s="2867" t="s">
        <v>249</v>
      </c>
      <c r="D13" s="2522" t="s">
        <v>1703</v>
      </c>
      <c r="E13" s="2522" t="s">
        <v>1703</v>
      </c>
      <c r="F13" s="2522" t="s">
        <v>1703</v>
      </c>
      <c r="G13" s="2523" t="s">
        <v>1702</v>
      </c>
      <c r="H13" s="2522" t="s">
        <v>1702</v>
      </c>
      <c r="I13" s="2523" t="s">
        <v>1702</v>
      </c>
      <c r="J13" s="2522" t="s">
        <v>1703</v>
      </c>
      <c r="K13" s="2523" t="s">
        <v>1702</v>
      </c>
      <c r="L13" s="2522" t="s">
        <v>1702</v>
      </c>
      <c r="M13" s="2522" t="s">
        <v>1702</v>
      </c>
      <c r="N13" s="2523" t="s">
        <v>1702</v>
      </c>
      <c r="O13" s="2523" t="s">
        <v>1702</v>
      </c>
      <c r="P13" s="2522" t="s">
        <v>1702</v>
      </c>
      <c r="Q13" s="2522" t="s">
        <v>1702</v>
      </c>
      <c r="R13" s="2523" t="s">
        <v>1703</v>
      </c>
      <c r="S13" s="2523" t="s">
        <v>1703</v>
      </c>
      <c r="T13" s="2522" t="s">
        <v>1703</v>
      </c>
      <c r="U13" s="2523" t="s">
        <v>1703</v>
      </c>
      <c r="V13" s="2522" t="s">
        <v>92</v>
      </c>
      <c r="W13" s="2522" t="s">
        <v>91</v>
      </c>
      <c r="X13" s="2522" t="s">
        <v>91</v>
      </c>
      <c r="Y13" s="2522" t="s">
        <v>92</v>
      </c>
      <c r="Z13" s="2523" t="s">
        <v>91</v>
      </c>
      <c r="AA13" s="2522" t="s">
        <v>91</v>
      </c>
      <c r="AB13" s="2522" t="s">
        <v>92</v>
      </c>
      <c r="AC13" s="2522" t="s">
        <v>91</v>
      </c>
      <c r="AD13" s="2522" t="s">
        <v>91</v>
      </c>
      <c r="AE13" s="2694" t="s">
        <v>91</v>
      </c>
      <c r="AF13" s="2523" t="s">
        <v>91</v>
      </c>
      <c r="AG13" s="2522" t="s">
        <v>91</v>
      </c>
    </row>
    <row r="14" ht="18.75" customHeight="1">
      <c r="A14" s="158"/>
      <c r="B14" s="2868" t="s">
        <v>1289</v>
      </c>
      <c r="C14" s="2869" t="s">
        <v>1336</v>
      </c>
      <c r="D14" s="2522" t="s">
        <v>1703</v>
      </c>
      <c r="E14" s="2522" t="s">
        <v>1703</v>
      </c>
      <c r="F14" s="2522" t="s">
        <v>1702</v>
      </c>
      <c r="G14" s="2523" t="s">
        <v>1702</v>
      </c>
      <c r="H14" s="2522" t="s">
        <v>117</v>
      </c>
      <c r="I14" s="2523" t="s">
        <v>1702</v>
      </c>
      <c r="J14" s="2522" t="s">
        <v>93</v>
      </c>
      <c r="K14" s="2523" t="s">
        <v>93</v>
      </c>
      <c r="L14" s="2522" t="s">
        <v>1702</v>
      </c>
      <c r="M14" s="2522" t="s">
        <v>117</v>
      </c>
      <c r="N14" s="2523" t="s">
        <v>1702</v>
      </c>
      <c r="O14" s="2523" t="s">
        <v>93</v>
      </c>
      <c r="P14" s="2862" t="s">
        <v>1702</v>
      </c>
      <c r="Q14" s="2862" t="s">
        <v>1702</v>
      </c>
      <c r="R14" s="2863" t="s">
        <v>1702</v>
      </c>
      <c r="S14" s="2523" t="s">
        <v>1703</v>
      </c>
      <c r="T14" s="2522" t="s">
        <v>1703</v>
      </c>
      <c r="U14" s="2523" t="s">
        <v>1702</v>
      </c>
      <c r="V14" s="2522" t="s">
        <v>93</v>
      </c>
      <c r="W14" s="2522" t="s">
        <v>93</v>
      </c>
      <c r="X14" s="2522" t="s">
        <v>93</v>
      </c>
      <c r="Y14" s="2522" t="s">
        <v>93</v>
      </c>
      <c r="Z14" s="2523" t="s">
        <v>93</v>
      </c>
      <c r="AA14" s="2522" t="s">
        <v>93</v>
      </c>
      <c r="AB14" s="2522" t="s">
        <v>93</v>
      </c>
      <c r="AC14" s="2522" t="s">
        <v>93</v>
      </c>
      <c r="AD14" s="2522" t="s">
        <v>93</v>
      </c>
      <c r="AE14" s="2694" t="s">
        <v>93</v>
      </c>
      <c r="AF14" s="2523" t="s">
        <v>93</v>
      </c>
      <c r="AG14" s="2522" t="s">
        <v>93</v>
      </c>
    </row>
    <row r="15" ht="18.75" customHeight="1">
      <c r="A15" s="158"/>
      <c r="B15" s="135"/>
      <c r="C15" s="2808" t="s">
        <v>1337</v>
      </c>
      <c r="D15" s="2522" t="s">
        <v>1703</v>
      </c>
      <c r="E15" s="2522" t="s">
        <v>1703</v>
      </c>
      <c r="F15" s="2522" t="s">
        <v>1703</v>
      </c>
      <c r="G15" s="2523" t="s">
        <v>1702</v>
      </c>
      <c r="H15" s="2522" t="s">
        <v>1702</v>
      </c>
      <c r="I15" s="2523" t="s">
        <v>1702</v>
      </c>
      <c r="J15" s="2522" t="s">
        <v>1702</v>
      </c>
      <c r="K15" s="2523" t="s">
        <v>117</v>
      </c>
      <c r="L15" s="2522" t="s">
        <v>1702</v>
      </c>
      <c r="M15" s="2522" t="s">
        <v>1702</v>
      </c>
      <c r="N15" s="2523" t="s">
        <v>1702</v>
      </c>
      <c r="O15" s="2523" t="s">
        <v>1702</v>
      </c>
      <c r="P15" s="2522" t="s">
        <v>1702</v>
      </c>
      <c r="Q15" s="2522" t="s">
        <v>1702</v>
      </c>
      <c r="R15" s="2523" t="s">
        <v>117</v>
      </c>
      <c r="S15" s="2523" t="s">
        <v>1703</v>
      </c>
      <c r="T15" s="2522" t="s">
        <v>1702</v>
      </c>
      <c r="U15" s="2523" t="s">
        <v>1702</v>
      </c>
      <c r="V15" s="2522" t="s">
        <v>92</v>
      </c>
      <c r="W15" s="2522" t="s">
        <v>91</v>
      </c>
      <c r="X15" s="2522" t="s">
        <v>91</v>
      </c>
      <c r="Y15" s="2522" t="s">
        <v>92</v>
      </c>
      <c r="Z15" s="2523" t="s">
        <v>91</v>
      </c>
      <c r="AA15" s="2522" t="s">
        <v>93</v>
      </c>
      <c r="AB15" s="2522" t="s">
        <v>93</v>
      </c>
      <c r="AC15" s="2522" t="s">
        <v>93</v>
      </c>
      <c r="AD15" s="2522" t="s">
        <v>93</v>
      </c>
      <c r="AE15" s="2694" t="s">
        <v>91</v>
      </c>
      <c r="AF15" s="2523" t="s">
        <v>91</v>
      </c>
      <c r="AG15" s="2522" t="s">
        <v>91</v>
      </c>
    </row>
    <row r="16" ht="18.75" customHeight="1">
      <c r="A16" s="158"/>
      <c r="B16" s="135"/>
      <c r="C16" s="2870" t="s">
        <v>244</v>
      </c>
      <c r="D16" s="2522" t="s">
        <v>1703</v>
      </c>
      <c r="E16" s="2522" t="s">
        <v>1703</v>
      </c>
      <c r="F16" s="2522" t="s">
        <v>1702</v>
      </c>
      <c r="G16" s="2523" t="s">
        <v>1702</v>
      </c>
      <c r="H16" s="2522" t="s">
        <v>1702</v>
      </c>
      <c r="I16" s="2523" t="s">
        <v>1702</v>
      </c>
      <c r="J16" s="2522" t="s">
        <v>1703</v>
      </c>
      <c r="K16" s="2523" t="s">
        <v>1702</v>
      </c>
      <c r="L16" s="2522" t="s">
        <v>1702</v>
      </c>
      <c r="M16" s="2522" t="s">
        <v>1702</v>
      </c>
      <c r="N16" s="2523" t="s">
        <v>1702</v>
      </c>
      <c r="O16" s="2523" t="s">
        <v>1702</v>
      </c>
      <c r="P16" s="2522" t="s">
        <v>1702</v>
      </c>
      <c r="Q16" s="2522" t="s">
        <v>1702</v>
      </c>
      <c r="R16" s="2523" t="s">
        <v>117</v>
      </c>
      <c r="S16" s="2523" t="s">
        <v>1703</v>
      </c>
      <c r="T16" s="2522" t="s">
        <v>1703</v>
      </c>
      <c r="U16" s="2523" t="s">
        <v>1703</v>
      </c>
      <c r="V16" s="2522" t="s">
        <v>92</v>
      </c>
      <c r="W16" s="2522" t="s">
        <v>91</v>
      </c>
      <c r="X16" s="2522" t="s">
        <v>91</v>
      </c>
      <c r="Y16" s="2522" t="s">
        <v>92</v>
      </c>
      <c r="Z16" s="2523" t="s">
        <v>91</v>
      </c>
      <c r="AA16" s="2522" t="s">
        <v>91</v>
      </c>
      <c r="AB16" s="2522" t="s">
        <v>92</v>
      </c>
      <c r="AC16" s="2522" t="s">
        <v>91</v>
      </c>
      <c r="AD16" s="2522" t="s">
        <v>91</v>
      </c>
      <c r="AE16" s="2694" t="s">
        <v>91</v>
      </c>
      <c r="AF16" s="2523" t="s">
        <v>91</v>
      </c>
      <c r="AG16" s="2522" t="s">
        <v>92</v>
      </c>
    </row>
    <row r="17" ht="18.75" customHeight="1">
      <c r="A17" s="158"/>
      <c r="B17" s="135"/>
      <c r="C17" s="2808" t="s">
        <v>252</v>
      </c>
      <c r="D17" s="2522" t="s">
        <v>1703</v>
      </c>
      <c r="E17" s="2522" t="s">
        <v>1703</v>
      </c>
      <c r="F17" s="2522" t="s">
        <v>1703</v>
      </c>
      <c r="G17" s="2523" t="s">
        <v>1702</v>
      </c>
      <c r="H17" s="2522" t="s">
        <v>1702</v>
      </c>
      <c r="I17" s="2523" t="s">
        <v>1702</v>
      </c>
      <c r="J17" s="2522" t="s">
        <v>1703</v>
      </c>
      <c r="K17" s="2523" t="s">
        <v>1702</v>
      </c>
      <c r="L17" s="2522" t="s">
        <v>1703</v>
      </c>
      <c r="M17" s="2522" t="s">
        <v>1703</v>
      </c>
      <c r="N17" s="2523" t="s">
        <v>1702</v>
      </c>
      <c r="O17" s="2523" t="s">
        <v>1702</v>
      </c>
      <c r="P17" s="2522" t="s">
        <v>1702</v>
      </c>
      <c r="Q17" s="2522" t="s">
        <v>1702</v>
      </c>
      <c r="R17" s="2523" t="s">
        <v>1702</v>
      </c>
      <c r="S17" s="2523" t="s">
        <v>1703</v>
      </c>
      <c r="T17" s="2522" t="s">
        <v>1703</v>
      </c>
      <c r="U17" s="2523" t="s">
        <v>1703</v>
      </c>
      <c r="V17" s="2522" t="s">
        <v>92</v>
      </c>
      <c r="W17" s="2522" t="s">
        <v>91</v>
      </c>
      <c r="X17" s="2522" t="s">
        <v>91</v>
      </c>
      <c r="Y17" s="2522" t="s">
        <v>92</v>
      </c>
      <c r="Z17" s="2523" t="s">
        <v>91</v>
      </c>
      <c r="AA17" s="2522" t="s">
        <v>93</v>
      </c>
      <c r="AB17" s="2522" t="s">
        <v>93</v>
      </c>
      <c r="AC17" s="2522" t="s">
        <v>93</v>
      </c>
      <c r="AD17" s="2522" t="s">
        <v>93</v>
      </c>
      <c r="AE17" s="2694" t="s">
        <v>91</v>
      </c>
      <c r="AF17" s="2523" t="s">
        <v>91</v>
      </c>
      <c r="AG17" s="2522" t="s">
        <v>91</v>
      </c>
    </row>
    <row r="18" ht="18.75" customHeight="1">
      <c r="A18" s="158"/>
      <c r="B18" s="135"/>
      <c r="C18" s="2871" t="s">
        <v>1147</v>
      </c>
      <c r="D18" s="2522" t="s">
        <v>1703</v>
      </c>
      <c r="E18" s="2522" t="s">
        <v>1703</v>
      </c>
      <c r="F18" s="2522" t="s">
        <v>1703</v>
      </c>
      <c r="G18" s="2523" t="s">
        <v>1702</v>
      </c>
      <c r="H18" s="2522" t="s">
        <v>1702</v>
      </c>
      <c r="I18" s="2523" t="s">
        <v>1702</v>
      </c>
      <c r="J18" s="2522" t="s">
        <v>117</v>
      </c>
      <c r="K18" s="2523" t="s">
        <v>1702</v>
      </c>
      <c r="L18" s="2522" t="s">
        <v>1702</v>
      </c>
      <c r="M18" s="2522" t="s">
        <v>1702</v>
      </c>
      <c r="N18" s="2523" t="s">
        <v>1702</v>
      </c>
      <c r="O18" s="2523" t="s">
        <v>1702</v>
      </c>
      <c r="P18" s="2522" t="s">
        <v>1702</v>
      </c>
      <c r="Q18" s="2522" t="s">
        <v>1702</v>
      </c>
      <c r="R18" s="2523" t="s">
        <v>117</v>
      </c>
      <c r="S18" s="2523" t="s">
        <v>1703</v>
      </c>
      <c r="T18" s="2522" t="s">
        <v>1703</v>
      </c>
      <c r="U18" s="2523" t="s">
        <v>1703</v>
      </c>
      <c r="V18" s="2522" t="s">
        <v>92</v>
      </c>
      <c r="W18" s="2522" t="s">
        <v>91</v>
      </c>
      <c r="X18" s="2522" t="s">
        <v>91</v>
      </c>
      <c r="Y18" s="2522" t="s">
        <v>92</v>
      </c>
      <c r="Z18" s="2523" t="s">
        <v>91</v>
      </c>
      <c r="AA18" s="2522" t="s">
        <v>91</v>
      </c>
      <c r="AB18" s="2522" t="s">
        <v>92</v>
      </c>
      <c r="AC18" s="2522" t="s">
        <v>117</v>
      </c>
      <c r="AD18" s="2522" t="s">
        <v>91</v>
      </c>
      <c r="AE18" s="2694" t="s">
        <v>91</v>
      </c>
      <c r="AF18" s="2523" t="s">
        <v>91</v>
      </c>
      <c r="AG18" s="2522" t="s">
        <v>91</v>
      </c>
    </row>
    <row r="19" ht="18.75" customHeight="1">
      <c r="A19" s="158"/>
      <c r="B19" s="2872" t="s">
        <v>31</v>
      </c>
      <c r="C19" s="2873" t="s">
        <v>32</v>
      </c>
      <c r="D19" s="2522" t="s">
        <v>1703</v>
      </c>
      <c r="E19" s="2522" t="s">
        <v>1703</v>
      </c>
      <c r="F19" s="2522" t="s">
        <v>1702</v>
      </c>
      <c r="G19" s="2523" t="s">
        <v>1702</v>
      </c>
      <c r="H19" s="2522" t="s">
        <v>117</v>
      </c>
      <c r="I19" s="2523" t="s">
        <v>1702</v>
      </c>
      <c r="J19" s="2522" t="s">
        <v>1703</v>
      </c>
      <c r="K19" s="2523" t="s">
        <v>1702</v>
      </c>
      <c r="L19" s="2522" t="s">
        <v>1702</v>
      </c>
      <c r="M19" s="2522" t="s">
        <v>1702</v>
      </c>
      <c r="N19" s="2523" t="s">
        <v>1702</v>
      </c>
      <c r="O19" s="2523" t="s">
        <v>1702</v>
      </c>
      <c r="P19" s="2522" t="s">
        <v>1702</v>
      </c>
      <c r="Q19" s="2522" t="s">
        <v>1702</v>
      </c>
      <c r="R19" s="2523" t="s">
        <v>1702</v>
      </c>
      <c r="S19" s="2523" t="s">
        <v>1703</v>
      </c>
      <c r="T19" s="2522" t="s">
        <v>1703</v>
      </c>
      <c r="U19" s="2523" t="s">
        <v>1703</v>
      </c>
      <c r="V19" s="2522" t="s">
        <v>92</v>
      </c>
      <c r="W19" s="2522" t="s">
        <v>91</v>
      </c>
      <c r="X19" s="2522" t="s">
        <v>91</v>
      </c>
      <c r="Y19" s="2522" t="s">
        <v>92</v>
      </c>
      <c r="Z19" s="2523" t="s">
        <v>91</v>
      </c>
      <c r="AA19" s="2522" t="s">
        <v>118</v>
      </c>
      <c r="AB19" s="2522" t="s">
        <v>118</v>
      </c>
      <c r="AC19" s="2522" t="s">
        <v>118</v>
      </c>
      <c r="AD19" s="2522" t="s">
        <v>118</v>
      </c>
      <c r="AE19" s="2694" t="s">
        <v>118</v>
      </c>
      <c r="AF19" s="2523" t="s">
        <v>118</v>
      </c>
      <c r="AG19" s="2705" t="s">
        <v>118</v>
      </c>
    </row>
    <row r="20" ht="18.75" customHeight="1">
      <c r="A20" s="158"/>
      <c r="B20" s="135"/>
      <c r="C20" s="2819" t="s">
        <v>1347</v>
      </c>
      <c r="D20" s="2522" t="s">
        <v>1703</v>
      </c>
      <c r="E20" s="2522" t="s">
        <v>1703</v>
      </c>
      <c r="F20" s="2522" t="s">
        <v>1702</v>
      </c>
      <c r="G20" s="2523" t="s">
        <v>1702</v>
      </c>
      <c r="H20" s="2522" t="s">
        <v>117</v>
      </c>
      <c r="I20" s="2523" t="s">
        <v>1702</v>
      </c>
      <c r="J20" s="2522" t="s">
        <v>1703</v>
      </c>
      <c r="K20" s="2523" t="s">
        <v>1702</v>
      </c>
      <c r="L20" s="2522" t="s">
        <v>1702</v>
      </c>
      <c r="M20" s="2522" t="s">
        <v>1702</v>
      </c>
      <c r="N20" s="2523" t="s">
        <v>1702</v>
      </c>
      <c r="O20" s="2523" t="s">
        <v>1702</v>
      </c>
      <c r="P20" s="2522" t="s">
        <v>1702</v>
      </c>
      <c r="Q20" s="2522" t="s">
        <v>1702</v>
      </c>
      <c r="R20" s="2523" t="s">
        <v>1702</v>
      </c>
      <c r="S20" s="2523" t="s">
        <v>1703</v>
      </c>
      <c r="T20" s="2522" t="s">
        <v>1703</v>
      </c>
      <c r="U20" s="2523" t="s">
        <v>1703</v>
      </c>
      <c r="V20" s="2522" t="s">
        <v>92</v>
      </c>
      <c r="W20" s="2522" t="s">
        <v>91</v>
      </c>
      <c r="X20" s="2522" t="s">
        <v>91</v>
      </c>
      <c r="Y20" s="2522" t="s">
        <v>92</v>
      </c>
      <c r="Z20" s="2523" t="s">
        <v>91</v>
      </c>
      <c r="AA20" s="2522" t="s">
        <v>91</v>
      </c>
      <c r="AB20" s="2522" t="s">
        <v>92</v>
      </c>
      <c r="AC20" s="2522" t="s">
        <v>91</v>
      </c>
      <c r="AD20" s="2522" t="s">
        <v>91</v>
      </c>
      <c r="AE20" s="2694" t="s">
        <v>91</v>
      </c>
      <c r="AF20" s="2523" t="s">
        <v>91</v>
      </c>
      <c r="AG20" s="2522" t="s">
        <v>91</v>
      </c>
    </row>
    <row r="21" ht="18.75" customHeight="1">
      <c r="A21" s="158"/>
      <c r="B21" s="135"/>
      <c r="C21" s="2818" t="s">
        <v>111</v>
      </c>
      <c r="D21" s="2522" t="s">
        <v>1703</v>
      </c>
      <c r="E21" s="2522" t="s">
        <v>1703</v>
      </c>
      <c r="F21" s="2522" t="s">
        <v>1702</v>
      </c>
      <c r="G21" s="2523" t="s">
        <v>1702</v>
      </c>
      <c r="H21" s="2522" t="s">
        <v>117</v>
      </c>
      <c r="I21" s="2523" t="s">
        <v>1702</v>
      </c>
      <c r="J21" s="2522" t="s">
        <v>1703</v>
      </c>
      <c r="K21" s="2523" t="s">
        <v>1702</v>
      </c>
      <c r="L21" s="2522" t="s">
        <v>1702</v>
      </c>
      <c r="M21" s="2522" t="s">
        <v>1702</v>
      </c>
      <c r="N21" s="2523" t="s">
        <v>1702</v>
      </c>
      <c r="O21" s="2523" t="s">
        <v>1702</v>
      </c>
      <c r="P21" s="2522" t="s">
        <v>1702</v>
      </c>
      <c r="Q21" s="2522" t="s">
        <v>1702</v>
      </c>
      <c r="R21" s="2523" t="s">
        <v>1702</v>
      </c>
      <c r="S21" s="2523" t="s">
        <v>1703</v>
      </c>
      <c r="T21" s="2522" t="s">
        <v>1703</v>
      </c>
      <c r="U21" s="2523" t="s">
        <v>1703</v>
      </c>
      <c r="V21" s="2522" t="s">
        <v>92</v>
      </c>
      <c r="W21" s="2522" t="s">
        <v>91</v>
      </c>
      <c r="X21" s="2522" t="s">
        <v>91</v>
      </c>
      <c r="Y21" s="2522" t="s">
        <v>92</v>
      </c>
      <c r="Z21" s="2523" t="s">
        <v>91</v>
      </c>
      <c r="AA21" s="2522" t="s">
        <v>91</v>
      </c>
      <c r="AB21" s="2522" t="s">
        <v>92</v>
      </c>
      <c r="AC21" s="2522" t="s">
        <v>117</v>
      </c>
      <c r="AD21" s="2522" t="s">
        <v>91</v>
      </c>
      <c r="AE21" s="2694" t="s">
        <v>91</v>
      </c>
      <c r="AF21" s="2523" t="s">
        <v>91</v>
      </c>
      <c r="AG21" s="2522" t="s">
        <v>91</v>
      </c>
    </row>
    <row r="22" ht="18.75" customHeight="1">
      <c r="A22" s="158"/>
      <c r="B22" s="135"/>
      <c r="C22" s="2874" t="s">
        <v>1351</v>
      </c>
      <c r="D22" s="2522" t="s">
        <v>1703</v>
      </c>
      <c r="E22" s="2522" t="s">
        <v>1703</v>
      </c>
      <c r="F22" s="2522" t="s">
        <v>1702</v>
      </c>
      <c r="G22" s="2523" t="s">
        <v>1702</v>
      </c>
      <c r="H22" s="2522" t="s">
        <v>117</v>
      </c>
      <c r="I22" s="2523" t="s">
        <v>1702</v>
      </c>
      <c r="J22" s="2705" t="s">
        <v>118</v>
      </c>
      <c r="K22" s="2706" t="s">
        <v>118</v>
      </c>
      <c r="L22" s="2705" t="s">
        <v>118</v>
      </c>
      <c r="M22" s="2705" t="s">
        <v>118</v>
      </c>
      <c r="N22" s="2706" t="s">
        <v>118</v>
      </c>
      <c r="O22" s="2706" t="s">
        <v>118</v>
      </c>
      <c r="P22" s="2705" t="s">
        <v>118</v>
      </c>
      <c r="Q22" s="2705" t="s">
        <v>118</v>
      </c>
      <c r="R22" s="2706" t="s">
        <v>118</v>
      </c>
      <c r="S22" s="2706" t="s">
        <v>118</v>
      </c>
      <c r="T22" s="2530" t="s">
        <v>118</v>
      </c>
      <c r="U22" s="2706" t="s">
        <v>118</v>
      </c>
      <c r="V22" s="2705" t="s">
        <v>118</v>
      </c>
      <c r="W22" s="2705" t="s">
        <v>118</v>
      </c>
      <c r="X22" s="2705" t="s">
        <v>118</v>
      </c>
      <c r="Y22" s="2705" t="s">
        <v>118</v>
      </c>
      <c r="Z22" s="2706" t="s">
        <v>118</v>
      </c>
      <c r="AA22" s="2705" t="s">
        <v>118</v>
      </c>
      <c r="AB22" s="2705" t="s">
        <v>118</v>
      </c>
      <c r="AC22" s="2705" t="s">
        <v>118</v>
      </c>
      <c r="AD22" s="2705" t="s">
        <v>118</v>
      </c>
      <c r="AE22" s="2795" t="s">
        <v>118</v>
      </c>
      <c r="AF22" s="2706" t="s">
        <v>118</v>
      </c>
      <c r="AG22" s="2705" t="s">
        <v>118</v>
      </c>
    </row>
    <row r="23" ht="18.75" customHeight="1">
      <c r="A23" s="158"/>
      <c r="B23" s="135"/>
      <c r="C23" s="2819" t="s">
        <v>1961</v>
      </c>
      <c r="D23" s="2705" t="s">
        <v>118</v>
      </c>
      <c r="E23" s="2705" t="s">
        <v>118</v>
      </c>
      <c r="F23" s="2705" t="s">
        <v>118</v>
      </c>
      <c r="G23" s="2706" t="s">
        <v>118</v>
      </c>
      <c r="H23" s="2705" t="s">
        <v>118</v>
      </c>
      <c r="I23" s="2706" t="s">
        <v>118</v>
      </c>
      <c r="J23" s="2522" t="s">
        <v>1703</v>
      </c>
      <c r="K23" s="2523" t="s">
        <v>1702</v>
      </c>
      <c r="L23" s="2522" t="s">
        <v>1702</v>
      </c>
      <c r="M23" s="2522" t="s">
        <v>1702</v>
      </c>
      <c r="N23" s="2523" t="s">
        <v>1702</v>
      </c>
      <c r="O23" s="2523" t="s">
        <v>1702</v>
      </c>
      <c r="P23" s="2522" t="s">
        <v>1702</v>
      </c>
      <c r="Q23" s="2522" t="s">
        <v>1702</v>
      </c>
      <c r="R23" s="2523" t="s">
        <v>1702</v>
      </c>
      <c r="S23" s="2523" t="s">
        <v>1703</v>
      </c>
      <c r="T23" s="2522" t="s">
        <v>1703</v>
      </c>
      <c r="U23" s="2523" t="s">
        <v>1703</v>
      </c>
      <c r="V23" s="2522" t="s">
        <v>92</v>
      </c>
      <c r="W23" s="2522" t="s">
        <v>91</v>
      </c>
      <c r="X23" s="2522" t="s">
        <v>91</v>
      </c>
      <c r="Y23" s="2522" t="s">
        <v>92</v>
      </c>
      <c r="Z23" s="2523" t="s">
        <v>91</v>
      </c>
      <c r="AA23" s="2522" t="s">
        <v>91</v>
      </c>
      <c r="AB23" s="2522" t="s">
        <v>92</v>
      </c>
      <c r="AC23" s="2522" t="s">
        <v>91</v>
      </c>
      <c r="AD23" s="2522" t="s">
        <v>91</v>
      </c>
      <c r="AE23" s="2694" t="s">
        <v>91</v>
      </c>
      <c r="AF23" s="2523" t="s">
        <v>91</v>
      </c>
      <c r="AG23" s="2522" t="s">
        <v>91</v>
      </c>
    </row>
    <row r="24" ht="18.75" customHeight="1">
      <c r="A24" s="158"/>
      <c r="B24" s="135"/>
      <c r="C24" s="2819" t="s">
        <v>16</v>
      </c>
      <c r="D24" s="2705" t="s">
        <v>118</v>
      </c>
      <c r="E24" s="2705" t="s">
        <v>118</v>
      </c>
      <c r="F24" s="2705" t="s">
        <v>118</v>
      </c>
      <c r="G24" s="2706" t="s">
        <v>118</v>
      </c>
      <c r="H24" s="2705" t="s">
        <v>118</v>
      </c>
      <c r="I24" s="2706" t="s">
        <v>118</v>
      </c>
      <c r="J24" s="2705" t="s">
        <v>118</v>
      </c>
      <c r="K24" s="2706" t="s">
        <v>118</v>
      </c>
      <c r="L24" s="2705" t="s">
        <v>118</v>
      </c>
      <c r="M24" s="2705" t="s">
        <v>118</v>
      </c>
      <c r="N24" s="2706" t="s">
        <v>118</v>
      </c>
      <c r="O24" s="2706" t="s">
        <v>118</v>
      </c>
      <c r="P24" s="2705" t="s">
        <v>118</v>
      </c>
      <c r="Q24" s="2705" t="s">
        <v>118</v>
      </c>
      <c r="R24" s="2523" t="s">
        <v>118</v>
      </c>
      <c r="S24" s="2523" t="s">
        <v>118</v>
      </c>
      <c r="T24" s="2522" t="s">
        <v>118</v>
      </c>
      <c r="U24" s="2523" t="s">
        <v>118</v>
      </c>
      <c r="V24" s="2522" t="s">
        <v>118</v>
      </c>
      <c r="W24" s="2522" t="s">
        <v>118</v>
      </c>
      <c r="X24" s="2522" t="s">
        <v>118</v>
      </c>
      <c r="Y24" s="2522" t="s">
        <v>118</v>
      </c>
      <c r="Z24" s="2523" t="s">
        <v>118</v>
      </c>
      <c r="AA24" s="2522" t="s">
        <v>91</v>
      </c>
      <c r="AB24" s="2522" t="s">
        <v>92</v>
      </c>
      <c r="AC24" s="2522" t="s">
        <v>91</v>
      </c>
      <c r="AD24" s="2522" t="s">
        <v>91</v>
      </c>
      <c r="AE24" s="2694" t="s">
        <v>91</v>
      </c>
      <c r="AF24" s="2523" t="s">
        <v>91</v>
      </c>
      <c r="AG24" s="2522" t="s">
        <v>91</v>
      </c>
    </row>
    <row r="25" ht="18.75" customHeight="1">
      <c r="A25" s="158"/>
      <c r="B25" s="2875" t="s">
        <v>175</v>
      </c>
      <c r="C25" s="2876" t="s">
        <v>1361</v>
      </c>
      <c r="D25" s="2522" t="s">
        <v>1703</v>
      </c>
      <c r="E25" s="2522" t="s">
        <v>1703</v>
      </c>
      <c r="F25" s="2522" t="s">
        <v>1703</v>
      </c>
      <c r="G25" s="2523" t="s">
        <v>1702</v>
      </c>
      <c r="H25" s="2522" t="s">
        <v>1702</v>
      </c>
      <c r="I25" s="2523" t="s">
        <v>1702</v>
      </c>
      <c r="J25" s="2522" t="s">
        <v>93</v>
      </c>
      <c r="K25" s="2523" t="s">
        <v>93</v>
      </c>
      <c r="L25" s="2522" t="s">
        <v>93</v>
      </c>
      <c r="M25" s="2522" t="s">
        <v>93</v>
      </c>
      <c r="N25" s="2523" t="s">
        <v>93</v>
      </c>
      <c r="O25" s="2523" t="s">
        <v>93</v>
      </c>
      <c r="P25" s="2705" t="s">
        <v>118</v>
      </c>
      <c r="Q25" s="2705" t="s">
        <v>118</v>
      </c>
      <c r="R25" s="2706" t="s">
        <v>118</v>
      </c>
      <c r="S25" s="2706" t="s">
        <v>118</v>
      </c>
      <c r="T25" s="2530" t="s">
        <v>118</v>
      </c>
      <c r="U25" s="2706" t="s">
        <v>118</v>
      </c>
      <c r="V25" s="2705" t="s">
        <v>118</v>
      </c>
      <c r="W25" s="2705" t="s">
        <v>118</v>
      </c>
      <c r="X25" s="2705" t="s">
        <v>118</v>
      </c>
      <c r="Y25" s="2705" t="s">
        <v>118</v>
      </c>
      <c r="Z25" s="2706" t="s">
        <v>118</v>
      </c>
      <c r="AA25" s="2705" t="s">
        <v>118</v>
      </c>
      <c r="AB25" s="2705" t="s">
        <v>118</v>
      </c>
      <c r="AC25" s="2705" t="s">
        <v>118</v>
      </c>
      <c r="AD25" s="2705" t="s">
        <v>118</v>
      </c>
      <c r="AE25" s="2795" t="s">
        <v>118</v>
      </c>
      <c r="AF25" s="2706" t="s">
        <v>118</v>
      </c>
      <c r="AG25" s="2705" t="s">
        <v>118</v>
      </c>
    </row>
    <row r="26" ht="18.75" customHeight="1">
      <c r="A26" s="158"/>
      <c r="B26" s="135"/>
      <c r="C26" s="2877" t="s">
        <v>109</v>
      </c>
      <c r="D26" s="2705" t="s">
        <v>118</v>
      </c>
      <c r="E26" s="2705" t="s">
        <v>118</v>
      </c>
      <c r="F26" s="2705" t="s">
        <v>118</v>
      </c>
      <c r="G26" s="2706" t="s">
        <v>118</v>
      </c>
      <c r="H26" s="2705" t="s">
        <v>118</v>
      </c>
      <c r="I26" s="2706" t="s">
        <v>118</v>
      </c>
      <c r="J26" s="2705" t="s">
        <v>118</v>
      </c>
      <c r="K26" s="2706" t="s">
        <v>118</v>
      </c>
      <c r="L26" s="2705" t="s">
        <v>118</v>
      </c>
      <c r="M26" s="2705" t="s">
        <v>118</v>
      </c>
      <c r="N26" s="2706" t="s">
        <v>118</v>
      </c>
      <c r="O26" s="2706" t="s">
        <v>118</v>
      </c>
      <c r="P26" s="2522" t="s">
        <v>1702</v>
      </c>
      <c r="Q26" s="2522" t="s">
        <v>1702</v>
      </c>
      <c r="R26" s="2523" t="s">
        <v>1703</v>
      </c>
      <c r="S26" s="2523" t="s">
        <v>1703</v>
      </c>
      <c r="T26" s="2862" t="s">
        <v>1702</v>
      </c>
      <c r="U26" s="2863" t="s">
        <v>1702</v>
      </c>
      <c r="V26" s="2522" t="s">
        <v>92</v>
      </c>
      <c r="W26" s="2522" t="s">
        <v>91</v>
      </c>
      <c r="X26" s="2522" t="s">
        <v>91</v>
      </c>
      <c r="Y26" s="2522" t="s">
        <v>92</v>
      </c>
      <c r="Z26" s="2523" t="s">
        <v>91</v>
      </c>
      <c r="AA26" s="2522" t="s">
        <v>91</v>
      </c>
      <c r="AB26" s="2522" t="s">
        <v>92</v>
      </c>
      <c r="AC26" s="2522" t="s">
        <v>91</v>
      </c>
      <c r="AD26" s="2522" t="s">
        <v>91</v>
      </c>
      <c r="AE26" s="2694" t="s">
        <v>91</v>
      </c>
      <c r="AF26" s="2523" t="s">
        <v>92</v>
      </c>
      <c r="AG26" s="2522" t="s">
        <v>92</v>
      </c>
    </row>
    <row r="27" ht="18.75" customHeight="1">
      <c r="A27" s="158"/>
      <c r="B27" s="135"/>
      <c r="C27" s="2878" t="s">
        <v>97</v>
      </c>
      <c r="D27" s="2522" t="s">
        <v>1703</v>
      </c>
      <c r="E27" s="2522" t="s">
        <v>1703</v>
      </c>
      <c r="F27" s="2522" t="s">
        <v>1703</v>
      </c>
      <c r="G27" s="2523" t="s">
        <v>1702</v>
      </c>
      <c r="H27" s="2522" t="s">
        <v>1702</v>
      </c>
      <c r="I27" s="2523" t="s">
        <v>1702</v>
      </c>
      <c r="J27" s="2522" t="s">
        <v>1703</v>
      </c>
      <c r="K27" s="2523" t="s">
        <v>1702</v>
      </c>
      <c r="L27" s="2522" t="s">
        <v>1702</v>
      </c>
      <c r="M27" s="2522" t="s">
        <v>1702</v>
      </c>
      <c r="N27" s="2523" t="s">
        <v>1702</v>
      </c>
      <c r="O27" s="2523" t="s">
        <v>1702</v>
      </c>
      <c r="P27" s="2522" t="s">
        <v>1702</v>
      </c>
      <c r="Q27" s="2522" t="s">
        <v>1702</v>
      </c>
      <c r="R27" s="2523" t="s">
        <v>117</v>
      </c>
      <c r="S27" s="2523" t="s">
        <v>1703</v>
      </c>
      <c r="T27" s="2522" t="s">
        <v>93</v>
      </c>
      <c r="U27" s="2523" t="s">
        <v>93</v>
      </c>
      <c r="V27" s="2522" t="s">
        <v>93</v>
      </c>
      <c r="W27" s="2522" t="s">
        <v>93</v>
      </c>
      <c r="X27" s="2522" t="s">
        <v>93</v>
      </c>
      <c r="Y27" s="2522" t="s">
        <v>93</v>
      </c>
      <c r="Z27" s="2523" t="s">
        <v>93</v>
      </c>
      <c r="AA27" s="2522" t="s">
        <v>93</v>
      </c>
      <c r="AB27" s="2522" t="s">
        <v>93</v>
      </c>
      <c r="AC27" s="2522" t="s">
        <v>93</v>
      </c>
      <c r="AD27" s="2522" t="s">
        <v>93</v>
      </c>
      <c r="AE27" s="2694" t="s">
        <v>91</v>
      </c>
      <c r="AF27" s="2523" t="s">
        <v>91</v>
      </c>
      <c r="AG27" s="2522" t="s">
        <v>92</v>
      </c>
    </row>
    <row r="28" ht="18.75" customHeight="1">
      <c r="A28" s="158"/>
      <c r="B28" s="135"/>
      <c r="C28" s="2879" t="s">
        <v>1157</v>
      </c>
      <c r="D28" s="2522" t="s">
        <v>1703</v>
      </c>
      <c r="E28" s="2522" t="s">
        <v>1703</v>
      </c>
      <c r="F28" s="2522" t="s">
        <v>1703</v>
      </c>
      <c r="G28" s="2523" t="s">
        <v>1702</v>
      </c>
      <c r="H28" s="2522" t="s">
        <v>93</v>
      </c>
      <c r="I28" s="2523" t="s">
        <v>93</v>
      </c>
      <c r="J28" s="2705" t="s">
        <v>118</v>
      </c>
      <c r="K28" s="2706" t="s">
        <v>118</v>
      </c>
      <c r="L28" s="2705" t="s">
        <v>118</v>
      </c>
      <c r="M28" s="2705" t="s">
        <v>118</v>
      </c>
      <c r="N28" s="2706" t="s">
        <v>118</v>
      </c>
      <c r="O28" s="2706" t="s">
        <v>118</v>
      </c>
      <c r="P28" s="2705" t="s">
        <v>118</v>
      </c>
      <c r="Q28" s="2705" t="s">
        <v>118</v>
      </c>
      <c r="R28" s="2706" t="s">
        <v>118</v>
      </c>
      <c r="S28" s="2706" t="s">
        <v>118</v>
      </c>
      <c r="T28" s="2530" t="s">
        <v>118</v>
      </c>
      <c r="U28" s="2706" t="s">
        <v>118</v>
      </c>
      <c r="V28" s="2705" t="s">
        <v>118</v>
      </c>
      <c r="W28" s="2705" t="s">
        <v>118</v>
      </c>
      <c r="X28" s="2705" t="s">
        <v>118</v>
      </c>
      <c r="Y28" s="2705" t="s">
        <v>118</v>
      </c>
      <c r="Z28" s="2706" t="s">
        <v>118</v>
      </c>
      <c r="AA28" s="2705" t="s">
        <v>118</v>
      </c>
      <c r="AB28" s="2705" t="s">
        <v>118</v>
      </c>
      <c r="AC28" s="2705" t="s">
        <v>118</v>
      </c>
      <c r="AD28" s="2705" t="s">
        <v>118</v>
      </c>
      <c r="AE28" s="2795" t="s">
        <v>118</v>
      </c>
      <c r="AF28" s="2706" t="s">
        <v>118</v>
      </c>
      <c r="AG28" s="2705" t="s">
        <v>118</v>
      </c>
    </row>
    <row r="29" ht="18.75" customHeight="1">
      <c r="A29" s="158"/>
      <c r="B29" s="135"/>
      <c r="C29" s="2880" t="s">
        <v>176</v>
      </c>
      <c r="D29" s="2522" t="s">
        <v>1703</v>
      </c>
      <c r="E29" s="2522" t="s">
        <v>1703</v>
      </c>
      <c r="F29" s="2522" t="s">
        <v>1703</v>
      </c>
      <c r="G29" s="2523" t="s">
        <v>1702</v>
      </c>
      <c r="H29" s="2522" t="s">
        <v>93</v>
      </c>
      <c r="I29" s="2523" t="s">
        <v>93</v>
      </c>
      <c r="J29" s="2522" t="s">
        <v>1703</v>
      </c>
      <c r="K29" s="2523" t="s">
        <v>1702</v>
      </c>
      <c r="L29" s="2522" t="s">
        <v>1702</v>
      </c>
      <c r="M29" s="2522" t="s">
        <v>1702</v>
      </c>
      <c r="N29" s="2523" t="s">
        <v>1702</v>
      </c>
      <c r="O29" s="2523" t="s">
        <v>1702</v>
      </c>
      <c r="P29" s="2522" t="s">
        <v>1702</v>
      </c>
      <c r="Q29" s="2522" t="s">
        <v>1702</v>
      </c>
      <c r="R29" s="2523" t="s">
        <v>117</v>
      </c>
      <c r="S29" s="2523" t="s">
        <v>93</v>
      </c>
      <c r="T29" s="2522" t="s">
        <v>1702</v>
      </c>
      <c r="U29" s="2523" t="s">
        <v>117</v>
      </c>
      <c r="V29" s="2522" t="s">
        <v>92</v>
      </c>
      <c r="W29" s="2522" t="s">
        <v>91</v>
      </c>
      <c r="X29" s="2522" t="s">
        <v>91</v>
      </c>
      <c r="Y29" s="2522" t="s">
        <v>92</v>
      </c>
      <c r="Z29" s="2523" t="s">
        <v>91</v>
      </c>
      <c r="AA29" s="2522" t="s">
        <v>91</v>
      </c>
      <c r="AB29" s="2522" t="s">
        <v>117</v>
      </c>
      <c r="AC29" s="2522" t="s">
        <v>91</v>
      </c>
      <c r="AD29" s="2522" t="s">
        <v>91</v>
      </c>
      <c r="AE29" s="2694" t="s">
        <v>93</v>
      </c>
      <c r="AF29" s="2523" t="s">
        <v>93</v>
      </c>
      <c r="AG29" s="2522" t="s">
        <v>93</v>
      </c>
    </row>
    <row r="30" ht="18.75" customHeight="1">
      <c r="A30" s="168"/>
      <c r="B30" s="135"/>
      <c r="C30" s="2881" t="s">
        <v>1962</v>
      </c>
      <c r="D30" s="2705" t="s">
        <v>118</v>
      </c>
      <c r="E30" s="2705" t="s">
        <v>118</v>
      </c>
      <c r="F30" s="2705" t="s">
        <v>118</v>
      </c>
      <c r="G30" s="2706" t="s">
        <v>118</v>
      </c>
      <c r="H30" s="2705" t="s">
        <v>118</v>
      </c>
      <c r="I30" s="2706" t="s">
        <v>118</v>
      </c>
      <c r="J30" s="2522" t="s">
        <v>1702</v>
      </c>
      <c r="K30" s="2523" t="s">
        <v>1702</v>
      </c>
      <c r="L30" s="2522" t="s">
        <v>1702</v>
      </c>
      <c r="M30" s="2522" t="s">
        <v>1702</v>
      </c>
      <c r="N30" s="2523" t="s">
        <v>1702</v>
      </c>
      <c r="O30" s="2523" t="s">
        <v>1702</v>
      </c>
      <c r="P30" s="2522" t="s">
        <v>1702</v>
      </c>
      <c r="Q30" s="2522" t="s">
        <v>1702</v>
      </c>
      <c r="R30" s="2523" t="s">
        <v>1703</v>
      </c>
      <c r="S30" s="2523" t="s">
        <v>1702</v>
      </c>
      <c r="T30" s="2862" t="s">
        <v>1702</v>
      </c>
      <c r="U30" s="2863" t="s">
        <v>1702</v>
      </c>
      <c r="V30" s="2522" t="s">
        <v>93</v>
      </c>
      <c r="W30" s="2522" t="s">
        <v>93</v>
      </c>
      <c r="X30" s="2522" t="s">
        <v>93</v>
      </c>
      <c r="Y30" s="2522" t="s">
        <v>93</v>
      </c>
      <c r="Z30" s="2523" t="s">
        <v>93</v>
      </c>
      <c r="AA30" s="2522" t="s">
        <v>93</v>
      </c>
      <c r="AB30" s="2522" t="s">
        <v>93</v>
      </c>
      <c r="AC30" s="2522" t="s">
        <v>93</v>
      </c>
      <c r="AD30" s="2522" t="s">
        <v>93</v>
      </c>
      <c r="AE30" s="2694" t="s">
        <v>93</v>
      </c>
      <c r="AF30" s="2523" t="s">
        <v>93</v>
      </c>
      <c r="AG30" s="2522" t="s">
        <v>93</v>
      </c>
    </row>
    <row r="31" ht="6.0" customHeight="1">
      <c r="A31" s="2553"/>
      <c r="B31" s="2554"/>
      <c r="C31" s="2814"/>
      <c r="D31" s="2845" t="str">
        <f t="shared" ref="D31:AG31" si="1">LINKURL(D5)</f>
        <v>https://www.reddit.com/r/RMTK/comments/9uhc7u/</v>
      </c>
      <c r="E31" s="2845" t="str">
        <f t="shared" si="1"/>
        <v>https://www.reddit.com/r/RMTK/comments/9v3mni</v>
      </c>
      <c r="F31" s="2845" t="str">
        <f t="shared" si="1"/>
        <v>https://www.reddit.com/r/RMTK/comments/9vbs93</v>
      </c>
      <c r="G31" s="2882" t="str">
        <f t="shared" si="1"/>
        <v>https://www.reddit.com/r/RMTK/comments/9uriq3</v>
      </c>
      <c r="H31" s="2845" t="str">
        <f t="shared" si="1"/>
        <v>https://www.reddit.com/r/RMTK/comments/9xaw30</v>
      </c>
      <c r="I31" s="2882" t="str">
        <f t="shared" si="1"/>
        <v>https://www.reddit.com/r/RMTK/comments/9uriq3</v>
      </c>
      <c r="J31" s="2845" t="str">
        <f t="shared" si="1"/>
        <v>https://reddit.com/r/RMTK/comments/9yb2l5</v>
      </c>
      <c r="K31" s="2882" t="str">
        <f t="shared" si="1"/>
        <v>https://reddit.com/r/RMTK/comments/9yw1yh/</v>
      </c>
      <c r="L31" s="2845" t="str">
        <f t="shared" si="1"/>
        <v>https://www.reddit.com/r/RMTK/comments/a0hbsz/</v>
      </c>
      <c r="M31" s="2845" t="str">
        <f t="shared" si="1"/>
        <v>https://reddit.com/r/RMTK/comments/a157uw/</v>
      </c>
      <c r="N31" s="2882" t="str">
        <f t="shared" si="1"/>
        <v>https://www.reddit.com/r/RMTK/comments/a1lug6/</v>
      </c>
      <c r="O31" s="2882" t="str">
        <f t="shared" si="1"/>
        <v>https://www.reddit.com/r/RMTK/comments/a3evk8/</v>
      </c>
      <c r="P31" s="2845" t="str">
        <f t="shared" si="1"/>
        <v>https://www.reddit.com/r/RMTK/comments/a0wpec/</v>
      </c>
      <c r="Q31" s="2845" t="str">
        <f t="shared" si="1"/>
        <v>https://reddit.com/r/RMTK/comments/a4kfpa</v>
      </c>
      <c r="R31" s="2882" t="str">
        <f t="shared" si="1"/>
        <v>https://reddit.com/r/RMTK/comments/a4x47a</v>
      </c>
      <c r="S31" s="2882" t="str">
        <f t="shared" si="1"/>
        <v>https://reddit.com/r/RMTK/comments/a6yip8</v>
      </c>
      <c r="T31" s="2845" t="str">
        <f t="shared" si="1"/>
        <v>https://reddit.com/r/RMTK/comments/a7lfim</v>
      </c>
      <c r="U31" s="2882" t="str">
        <f t="shared" si="1"/>
        <v>https://reddit.com/r/RMTK/comments/a9e3yl</v>
      </c>
      <c r="V31" s="2845" t="str">
        <f t="shared" si="1"/>
        <v>https://reddit.com/r/RMTK/comments/abmvb8</v>
      </c>
      <c r="W31" s="2845" t="str">
        <f t="shared" si="1"/>
        <v>https://reddit.com/r/RMTK/comments/abwerm</v>
      </c>
      <c r="X31" s="2845" t="str">
        <f t="shared" si="1"/>
        <v>https://reddit.com/r/RMTK/comments/acgtkp</v>
      </c>
      <c r="Y31" s="2845" t="str">
        <f t="shared" si="1"/>
        <v>https://reddit.com/r/RMTK/comments/acl9yo</v>
      </c>
      <c r="Z31" s="2882" t="str">
        <f t="shared" si="1"/>
        <v>https://reddit.com/r/RMTK/comments/acy21s</v>
      </c>
      <c r="AA31" s="2845" t="str">
        <f t="shared" si="1"/>
        <v>https://reddit.com/r/RMTK/comments/adl4nh</v>
      </c>
      <c r="AB31" s="2845" t="str">
        <f t="shared" si="1"/>
        <v>https://reddit.com/r/RMTK/comments/ae7cyz</v>
      </c>
      <c r="AC31" s="2845" t="str">
        <f t="shared" si="1"/>
        <v>https://reddit.com/r/RMTK/comments/aeu8iv</v>
      </c>
      <c r="AD31" s="2845" t="str">
        <f t="shared" si="1"/>
        <v>https://reddit.com/r/RMTK/comments/aehqrq</v>
      </c>
      <c r="AE31" s="2845" t="str">
        <f t="shared" si="1"/>
        <v>https://reddit.com/r/RMTK/comments/agckzr</v>
      </c>
      <c r="AF31" s="2882" t="str">
        <f t="shared" si="1"/>
        <v>https://reddit.com/r/RMTK/comments/agz1n5</v>
      </c>
      <c r="AG31" s="2845" t="str">
        <f t="shared" si="1"/>
        <v>https://reddit.com/r/RMTK/comments/aiejgc</v>
      </c>
    </row>
    <row r="32" ht="18.75" customHeight="1">
      <c r="A32" s="2560" t="s">
        <v>1963</v>
      </c>
      <c r="B32" s="2883" t="s">
        <v>161</v>
      </c>
      <c r="C32" s="2884" t="s">
        <v>172</v>
      </c>
      <c r="D32" s="2522" t="s">
        <v>1702</v>
      </c>
      <c r="E32" s="2522" t="s">
        <v>1702</v>
      </c>
      <c r="F32" s="2522" t="s">
        <v>1702</v>
      </c>
      <c r="G32" s="2523" t="s">
        <v>1702</v>
      </c>
      <c r="H32" s="2522" t="s">
        <v>1702</v>
      </c>
      <c r="I32" s="2523" t="s">
        <v>1703</v>
      </c>
      <c r="J32" s="2522" t="s">
        <v>1702</v>
      </c>
      <c r="K32" s="2523" t="s">
        <v>1702</v>
      </c>
      <c r="L32" s="2522" t="s">
        <v>1702</v>
      </c>
      <c r="M32" s="2522" t="s">
        <v>1702</v>
      </c>
      <c r="N32" s="2523" t="s">
        <v>1702</v>
      </c>
      <c r="O32" s="2523" t="s">
        <v>1702</v>
      </c>
      <c r="P32" s="2522" t="s">
        <v>1702</v>
      </c>
      <c r="Q32" s="2522" t="s">
        <v>1702</v>
      </c>
      <c r="R32" s="2523" t="s">
        <v>1702</v>
      </c>
      <c r="S32" s="2523" t="s">
        <v>1702</v>
      </c>
      <c r="T32" s="2862" t="s">
        <v>1702</v>
      </c>
      <c r="U32" s="2863" t="s">
        <v>1702</v>
      </c>
      <c r="V32" s="2522" t="s">
        <v>118</v>
      </c>
      <c r="W32" s="2522" t="s">
        <v>118</v>
      </c>
      <c r="X32" s="2522" t="s">
        <v>118</v>
      </c>
      <c r="Y32" s="2522" t="s">
        <v>118</v>
      </c>
      <c r="Z32" s="2523" t="s">
        <v>118</v>
      </c>
      <c r="AA32" s="2705" t="s">
        <v>118</v>
      </c>
      <c r="AB32" s="2705" t="s">
        <v>118</v>
      </c>
      <c r="AC32" s="2705" t="s">
        <v>118</v>
      </c>
      <c r="AD32" s="2705" t="s">
        <v>118</v>
      </c>
      <c r="AE32" s="2694" t="s">
        <v>118</v>
      </c>
      <c r="AF32" s="2706" t="s">
        <v>118</v>
      </c>
      <c r="AG32" s="2705" t="s">
        <v>118</v>
      </c>
    </row>
    <row r="33" ht="18.75" customHeight="1">
      <c r="A33" s="158"/>
      <c r="B33" s="135"/>
      <c r="C33" s="2885" t="s">
        <v>206</v>
      </c>
      <c r="D33" s="2522" t="s">
        <v>118</v>
      </c>
      <c r="E33" s="2522" t="s">
        <v>118</v>
      </c>
      <c r="F33" s="2522" t="s">
        <v>118</v>
      </c>
      <c r="G33" s="2523" t="s">
        <v>118</v>
      </c>
      <c r="H33" s="2522" t="s">
        <v>118</v>
      </c>
      <c r="I33" s="2523" t="s">
        <v>118</v>
      </c>
      <c r="J33" s="2522" t="s">
        <v>118</v>
      </c>
      <c r="K33" s="2523" t="s">
        <v>118</v>
      </c>
      <c r="L33" s="2522" t="s">
        <v>118</v>
      </c>
      <c r="M33" s="2522" t="s">
        <v>118</v>
      </c>
      <c r="N33" s="2523" t="s">
        <v>118</v>
      </c>
      <c r="O33" s="2523" t="s">
        <v>118</v>
      </c>
      <c r="P33" s="2522" t="s">
        <v>118</v>
      </c>
      <c r="Q33" s="2522" t="s">
        <v>118</v>
      </c>
      <c r="R33" s="2523" t="s">
        <v>118</v>
      </c>
      <c r="S33" s="2523" t="s">
        <v>118</v>
      </c>
      <c r="T33" s="2522" t="s">
        <v>118</v>
      </c>
      <c r="U33" s="2523" t="s">
        <v>118</v>
      </c>
      <c r="V33" s="2522" t="s">
        <v>92</v>
      </c>
      <c r="W33" s="2522" t="s">
        <v>91</v>
      </c>
      <c r="X33" s="2522" t="s">
        <v>91</v>
      </c>
      <c r="Y33" s="2522" t="s">
        <v>91</v>
      </c>
      <c r="Z33" s="2523" t="s">
        <v>91</v>
      </c>
      <c r="AA33" s="2522" t="s">
        <v>91</v>
      </c>
      <c r="AB33" s="2522" t="s">
        <v>91</v>
      </c>
      <c r="AC33" s="2522" t="s">
        <v>91</v>
      </c>
      <c r="AD33" s="2522" t="s">
        <v>91</v>
      </c>
      <c r="AE33" s="2694" t="s">
        <v>91</v>
      </c>
      <c r="AF33" s="2523" t="s">
        <v>92</v>
      </c>
      <c r="AG33" s="2522" t="s">
        <v>92</v>
      </c>
    </row>
    <row r="34" ht="18.75" customHeight="1">
      <c r="A34" s="158"/>
      <c r="B34" s="135"/>
      <c r="C34" s="2886" t="s">
        <v>1355</v>
      </c>
      <c r="D34" s="2522" t="s">
        <v>1702</v>
      </c>
      <c r="E34" s="2522" t="s">
        <v>1703</v>
      </c>
      <c r="F34" s="2522" t="s">
        <v>1702</v>
      </c>
      <c r="G34" s="2523" t="s">
        <v>1702</v>
      </c>
      <c r="H34" s="2522" t="s">
        <v>1702</v>
      </c>
      <c r="I34" s="2523" t="s">
        <v>1703</v>
      </c>
      <c r="J34" s="2522" t="s">
        <v>1702</v>
      </c>
      <c r="K34" s="2523" t="s">
        <v>1703</v>
      </c>
      <c r="L34" s="2522" t="s">
        <v>1702</v>
      </c>
      <c r="M34" s="2522" t="s">
        <v>1702</v>
      </c>
      <c r="N34" s="2523" t="s">
        <v>1702</v>
      </c>
      <c r="O34" s="2523" t="s">
        <v>1702</v>
      </c>
      <c r="P34" s="2522" t="s">
        <v>1702</v>
      </c>
      <c r="Q34" s="2522" t="s">
        <v>1702</v>
      </c>
      <c r="R34" s="2523" t="s">
        <v>1703</v>
      </c>
      <c r="S34" s="2523" t="s">
        <v>118</v>
      </c>
      <c r="T34" s="2522" t="s">
        <v>118</v>
      </c>
      <c r="U34" s="2523" t="s">
        <v>118</v>
      </c>
      <c r="V34" s="2522" t="s">
        <v>118</v>
      </c>
      <c r="W34" s="2522" t="s">
        <v>118</v>
      </c>
      <c r="X34" s="2522" t="s">
        <v>118</v>
      </c>
      <c r="Y34" s="2522" t="s">
        <v>118</v>
      </c>
      <c r="Z34" s="2523" t="s">
        <v>118</v>
      </c>
      <c r="AA34" s="2705" t="s">
        <v>118</v>
      </c>
      <c r="AB34" s="2705" t="s">
        <v>118</v>
      </c>
      <c r="AC34" s="2705" t="s">
        <v>118</v>
      </c>
      <c r="AD34" s="2705" t="s">
        <v>118</v>
      </c>
      <c r="AE34" s="2694" t="s">
        <v>118</v>
      </c>
      <c r="AF34" s="2706" t="s">
        <v>118</v>
      </c>
      <c r="AG34" s="2705" t="s">
        <v>118</v>
      </c>
    </row>
    <row r="35" ht="18.75" customHeight="1">
      <c r="A35" s="158"/>
      <c r="B35" s="135"/>
      <c r="C35" s="2887" t="s">
        <v>197</v>
      </c>
      <c r="D35" s="2522" t="s">
        <v>118</v>
      </c>
      <c r="E35" s="2522" t="s">
        <v>118</v>
      </c>
      <c r="F35" s="2522" t="s">
        <v>118</v>
      </c>
      <c r="G35" s="2523" t="s">
        <v>118</v>
      </c>
      <c r="H35" s="2522" t="s">
        <v>118</v>
      </c>
      <c r="I35" s="2523" t="s">
        <v>118</v>
      </c>
      <c r="J35" s="2522" t="s">
        <v>118</v>
      </c>
      <c r="K35" s="2523" t="s">
        <v>118</v>
      </c>
      <c r="L35" s="2522" t="s">
        <v>118</v>
      </c>
      <c r="M35" s="2522" t="s">
        <v>118</v>
      </c>
      <c r="N35" s="2523" t="s">
        <v>118</v>
      </c>
      <c r="O35" s="2523" t="s">
        <v>118</v>
      </c>
      <c r="P35" s="2522" t="s">
        <v>118</v>
      </c>
      <c r="Q35" s="2522" t="s">
        <v>118</v>
      </c>
      <c r="R35" s="2523" t="s">
        <v>118</v>
      </c>
      <c r="S35" s="2523" t="s">
        <v>1702</v>
      </c>
      <c r="T35" s="2522" t="s">
        <v>1702</v>
      </c>
      <c r="U35" s="2523" t="s">
        <v>1702</v>
      </c>
      <c r="V35" s="2522" t="s">
        <v>92</v>
      </c>
      <c r="W35" s="2522" t="s">
        <v>91</v>
      </c>
      <c r="X35" s="2522" t="s">
        <v>91</v>
      </c>
      <c r="Y35" s="2522" t="s">
        <v>91</v>
      </c>
      <c r="Z35" s="2523" t="s">
        <v>91</v>
      </c>
      <c r="AA35" s="2522" t="s">
        <v>91</v>
      </c>
      <c r="AB35" s="2522" t="s">
        <v>91</v>
      </c>
      <c r="AC35" s="2522" t="s">
        <v>91</v>
      </c>
      <c r="AD35" s="2522" t="s">
        <v>91</v>
      </c>
      <c r="AE35" s="2694" t="s">
        <v>91</v>
      </c>
      <c r="AF35" s="2523" t="s">
        <v>92</v>
      </c>
      <c r="AG35" s="2522" t="s">
        <v>91</v>
      </c>
    </row>
    <row r="36" ht="18.75" customHeight="1">
      <c r="A36" s="158"/>
      <c r="B36" s="135"/>
      <c r="C36" s="2887" t="s">
        <v>162</v>
      </c>
      <c r="D36" s="2522" t="s">
        <v>1702</v>
      </c>
      <c r="E36" s="2522" t="s">
        <v>1702</v>
      </c>
      <c r="F36" s="2522" t="s">
        <v>1702</v>
      </c>
      <c r="G36" s="2523" t="s">
        <v>1702</v>
      </c>
      <c r="H36" s="2522" t="s">
        <v>1702</v>
      </c>
      <c r="I36" s="2523" t="s">
        <v>1703</v>
      </c>
      <c r="J36" s="2522" t="s">
        <v>1702</v>
      </c>
      <c r="K36" s="2523" t="s">
        <v>1702</v>
      </c>
      <c r="L36" s="2522" t="s">
        <v>1702</v>
      </c>
      <c r="M36" s="2522" t="s">
        <v>1702</v>
      </c>
      <c r="N36" s="2523" t="s">
        <v>1702</v>
      </c>
      <c r="O36" s="2523" t="s">
        <v>1702</v>
      </c>
      <c r="P36" s="2522" t="s">
        <v>1702</v>
      </c>
      <c r="Q36" s="2522" t="s">
        <v>1702</v>
      </c>
      <c r="R36" s="2523" t="s">
        <v>1703</v>
      </c>
      <c r="S36" s="2523" t="s">
        <v>1702</v>
      </c>
      <c r="T36" s="2522" t="s">
        <v>1702</v>
      </c>
      <c r="U36" s="2523" t="s">
        <v>1702</v>
      </c>
      <c r="V36" s="2522" t="s">
        <v>92</v>
      </c>
      <c r="W36" s="2522" t="s">
        <v>92</v>
      </c>
      <c r="X36" s="2522" t="s">
        <v>91</v>
      </c>
      <c r="Y36" s="2522" t="s">
        <v>91</v>
      </c>
      <c r="Z36" s="2523" t="s">
        <v>91</v>
      </c>
      <c r="AA36" s="2522" t="s">
        <v>91</v>
      </c>
      <c r="AB36" s="2522" t="s">
        <v>91</v>
      </c>
      <c r="AC36" s="2522" t="s">
        <v>91</v>
      </c>
      <c r="AD36" s="2522" t="s">
        <v>91</v>
      </c>
      <c r="AE36" s="2694" t="s">
        <v>91</v>
      </c>
      <c r="AF36" s="2523" t="s">
        <v>92</v>
      </c>
      <c r="AG36" s="2522" t="s">
        <v>91</v>
      </c>
    </row>
    <row r="37" ht="18.75" customHeight="1">
      <c r="A37" s="158"/>
      <c r="B37" s="135"/>
      <c r="C37" s="2887" t="s">
        <v>182</v>
      </c>
      <c r="D37" s="2522" t="s">
        <v>1702</v>
      </c>
      <c r="E37" s="2522" t="s">
        <v>1702</v>
      </c>
      <c r="F37" s="2522" t="s">
        <v>1702</v>
      </c>
      <c r="G37" s="2523" t="s">
        <v>1702</v>
      </c>
      <c r="H37" s="2522" t="s">
        <v>1702</v>
      </c>
      <c r="I37" s="2523" t="s">
        <v>1703</v>
      </c>
      <c r="J37" s="2522" t="s">
        <v>1702</v>
      </c>
      <c r="K37" s="2523" t="s">
        <v>1702</v>
      </c>
      <c r="L37" s="2522" t="s">
        <v>1702</v>
      </c>
      <c r="M37" s="2522" t="s">
        <v>1702</v>
      </c>
      <c r="N37" s="2523" t="s">
        <v>1702</v>
      </c>
      <c r="O37" s="2523" t="s">
        <v>1702</v>
      </c>
      <c r="P37" s="2522" t="s">
        <v>1702</v>
      </c>
      <c r="Q37" s="2522" t="s">
        <v>1702</v>
      </c>
      <c r="R37" s="2523" t="s">
        <v>1702</v>
      </c>
      <c r="S37" s="2523" t="s">
        <v>1702</v>
      </c>
      <c r="T37" s="2522" t="s">
        <v>1702</v>
      </c>
      <c r="U37" s="2523" t="s">
        <v>1702</v>
      </c>
      <c r="V37" s="2522" t="s">
        <v>92</v>
      </c>
      <c r="W37" s="2522" t="s">
        <v>92</v>
      </c>
      <c r="X37" s="2522" t="s">
        <v>91</v>
      </c>
      <c r="Y37" s="2522" t="s">
        <v>91</v>
      </c>
      <c r="Z37" s="2523" t="s">
        <v>91</v>
      </c>
      <c r="AA37" s="2522" t="s">
        <v>91</v>
      </c>
      <c r="AB37" s="2522" t="s">
        <v>91</v>
      </c>
      <c r="AC37" s="2522" t="s">
        <v>91</v>
      </c>
      <c r="AD37" s="2522" t="s">
        <v>91</v>
      </c>
      <c r="AE37" s="2694" t="s">
        <v>91</v>
      </c>
      <c r="AF37" s="2523" t="s">
        <v>92</v>
      </c>
      <c r="AG37" s="2522" t="s">
        <v>91</v>
      </c>
    </row>
    <row r="38" ht="18.75" customHeight="1">
      <c r="A38" s="158"/>
      <c r="B38" s="2888" t="s">
        <v>169</v>
      </c>
      <c r="C38" s="2889" t="s">
        <v>101</v>
      </c>
      <c r="D38" s="2705" t="s">
        <v>118</v>
      </c>
      <c r="E38" s="2705" t="s">
        <v>118</v>
      </c>
      <c r="F38" s="2705" t="s">
        <v>118</v>
      </c>
      <c r="G38" s="2706" t="s">
        <v>118</v>
      </c>
      <c r="H38" s="2705" t="s">
        <v>118</v>
      </c>
      <c r="I38" s="2706" t="s">
        <v>118</v>
      </c>
      <c r="J38" s="2705" t="s">
        <v>118</v>
      </c>
      <c r="K38" s="2706" t="s">
        <v>118</v>
      </c>
      <c r="L38" s="2705" t="s">
        <v>118</v>
      </c>
      <c r="M38" s="2705" t="s">
        <v>118</v>
      </c>
      <c r="N38" s="2706" t="s">
        <v>118</v>
      </c>
      <c r="O38" s="2706" t="s">
        <v>118</v>
      </c>
      <c r="P38" s="2705" t="s">
        <v>118</v>
      </c>
      <c r="Q38" s="2705" t="s">
        <v>118</v>
      </c>
      <c r="R38" s="2706" t="s">
        <v>118</v>
      </c>
      <c r="S38" s="2706" t="s">
        <v>118</v>
      </c>
      <c r="T38" s="2705" t="s">
        <v>118</v>
      </c>
      <c r="U38" s="2706" t="s">
        <v>118</v>
      </c>
      <c r="V38" s="2705" t="s">
        <v>118</v>
      </c>
      <c r="W38" s="2705" t="s">
        <v>118</v>
      </c>
      <c r="X38" s="2705" t="s">
        <v>118</v>
      </c>
      <c r="Y38" s="2705" t="s">
        <v>118</v>
      </c>
      <c r="Z38" s="2706" t="s">
        <v>118</v>
      </c>
      <c r="AA38" s="2705" t="s">
        <v>118</v>
      </c>
      <c r="AB38" s="2705" t="s">
        <v>118</v>
      </c>
      <c r="AC38" s="2705" t="s">
        <v>118</v>
      </c>
      <c r="AD38" s="2705" t="s">
        <v>118</v>
      </c>
      <c r="AE38" s="2694" t="s">
        <v>91</v>
      </c>
      <c r="AF38" s="2523" t="s">
        <v>92</v>
      </c>
      <c r="AG38" s="2522" t="s">
        <v>91</v>
      </c>
    </row>
    <row r="39" ht="18.75" customHeight="1">
      <c r="A39" s="158"/>
      <c r="B39" s="135"/>
      <c r="C39" s="2890" t="s">
        <v>195</v>
      </c>
      <c r="D39" s="2522" t="s">
        <v>1702</v>
      </c>
      <c r="E39" s="2522" t="s">
        <v>1702</v>
      </c>
      <c r="F39" s="2522" t="s">
        <v>1703</v>
      </c>
      <c r="G39" s="2523" t="s">
        <v>1702</v>
      </c>
      <c r="H39" s="2522" t="s">
        <v>1702</v>
      </c>
      <c r="I39" s="2523" t="s">
        <v>1703</v>
      </c>
      <c r="J39" s="2522" t="s">
        <v>93</v>
      </c>
      <c r="K39" s="2523" t="s">
        <v>93</v>
      </c>
      <c r="L39" s="2522" t="s">
        <v>1702</v>
      </c>
      <c r="M39" s="2522" t="s">
        <v>1702</v>
      </c>
      <c r="N39" s="2523" t="s">
        <v>1702</v>
      </c>
      <c r="O39" s="2523" t="s">
        <v>1702</v>
      </c>
      <c r="P39" s="2522" t="s">
        <v>1703</v>
      </c>
      <c r="Q39" s="2522" t="s">
        <v>1702</v>
      </c>
      <c r="R39" s="2523" t="s">
        <v>1703</v>
      </c>
      <c r="S39" s="2523" t="s">
        <v>1702</v>
      </c>
      <c r="T39" s="2522" t="s">
        <v>1703</v>
      </c>
      <c r="U39" s="2523" t="s">
        <v>1702</v>
      </c>
      <c r="V39" s="2522" t="s">
        <v>91</v>
      </c>
      <c r="W39" s="2522" t="s">
        <v>92</v>
      </c>
      <c r="X39" s="2522" t="s">
        <v>91</v>
      </c>
      <c r="Y39" s="2522" t="s">
        <v>117</v>
      </c>
      <c r="Z39" s="2523" t="s">
        <v>91</v>
      </c>
      <c r="AA39" s="2522" t="s">
        <v>91</v>
      </c>
      <c r="AB39" s="2522" t="s">
        <v>91</v>
      </c>
      <c r="AC39" s="2522" t="s">
        <v>91</v>
      </c>
      <c r="AD39" s="2522" t="s">
        <v>92</v>
      </c>
      <c r="AE39" s="2795" t="s">
        <v>118</v>
      </c>
      <c r="AF39" s="2706" t="s">
        <v>118</v>
      </c>
      <c r="AG39" s="2705" t="s">
        <v>118</v>
      </c>
    </row>
    <row r="40" ht="18.75" customHeight="1">
      <c r="A40" s="158"/>
      <c r="B40" s="135"/>
      <c r="C40" s="2822" t="s">
        <v>1364</v>
      </c>
      <c r="D40" s="2522" t="s">
        <v>1702</v>
      </c>
      <c r="E40" s="2522" t="s">
        <v>1702</v>
      </c>
      <c r="F40" s="2522" t="s">
        <v>1703</v>
      </c>
      <c r="G40" s="2523" t="s">
        <v>1702</v>
      </c>
      <c r="H40" s="2891" t="s">
        <v>1702</v>
      </c>
      <c r="I40" s="2892" t="s">
        <v>1703</v>
      </c>
      <c r="J40" s="2522" t="s">
        <v>93</v>
      </c>
      <c r="K40" s="2523" t="s">
        <v>93</v>
      </c>
      <c r="L40" s="2522" t="s">
        <v>1702</v>
      </c>
      <c r="M40" s="2522" t="s">
        <v>1702</v>
      </c>
      <c r="N40" s="2523" t="s">
        <v>1702</v>
      </c>
      <c r="O40" s="2523" t="s">
        <v>1702</v>
      </c>
      <c r="P40" s="2522" t="s">
        <v>1703</v>
      </c>
      <c r="Q40" s="2522" t="s">
        <v>1702</v>
      </c>
      <c r="R40" s="2523" t="s">
        <v>1703</v>
      </c>
      <c r="S40" s="2523" t="s">
        <v>1702</v>
      </c>
      <c r="T40" s="2522" t="s">
        <v>1703</v>
      </c>
      <c r="U40" s="2523" t="s">
        <v>1702</v>
      </c>
      <c r="V40" s="2522" t="s">
        <v>91</v>
      </c>
      <c r="W40" s="2522" t="s">
        <v>117</v>
      </c>
      <c r="X40" s="2522" t="s">
        <v>91</v>
      </c>
      <c r="Y40" s="2522" t="s">
        <v>117</v>
      </c>
      <c r="Z40" s="2523" t="s">
        <v>91</v>
      </c>
      <c r="AA40" s="2522" t="s">
        <v>91</v>
      </c>
      <c r="AB40" s="2522" t="s">
        <v>91</v>
      </c>
      <c r="AC40" s="2522" t="s">
        <v>91</v>
      </c>
      <c r="AD40" s="2522" t="s">
        <v>92</v>
      </c>
      <c r="AE40" s="2694" t="s">
        <v>93</v>
      </c>
      <c r="AF40" s="2523" t="s">
        <v>93</v>
      </c>
      <c r="AG40" s="2522" t="s">
        <v>91</v>
      </c>
    </row>
    <row r="41" ht="18.75" customHeight="1">
      <c r="A41" s="158"/>
      <c r="B41" s="135"/>
      <c r="C41" s="2822" t="s">
        <v>308</v>
      </c>
      <c r="D41" s="2522" t="s">
        <v>1702</v>
      </c>
      <c r="E41" s="2522" t="s">
        <v>1702</v>
      </c>
      <c r="F41" s="2522" t="s">
        <v>1703</v>
      </c>
      <c r="G41" s="2523" t="s">
        <v>1702</v>
      </c>
      <c r="H41" s="2522" t="s">
        <v>1702</v>
      </c>
      <c r="I41" s="2523" t="s">
        <v>1703</v>
      </c>
      <c r="J41" s="2522" t="s">
        <v>1702</v>
      </c>
      <c r="K41" s="2523" t="s">
        <v>1702</v>
      </c>
      <c r="L41" s="2522" t="s">
        <v>1702</v>
      </c>
      <c r="M41" s="2522" t="s">
        <v>1702</v>
      </c>
      <c r="N41" s="2523" t="s">
        <v>1702</v>
      </c>
      <c r="O41" s="2523" t="s">
        <v>1702</v>
      </c>
      <c r="P41" s="2522" t="s">
        <v>1703</v>
      </c>
      <c r="Q41" s="2522" t="s">
        <v>1702</v>
      </c>
      <c r="R41" s="2523" t="s">
        <v>1702</v>
      </c>
      <c r="S41" s="2523" t="s">
        <v>1702</v>
      </c>
      <c r="T41" s="2527" t="s">
        <v>93</v>
      </c>
      <c r="U41" s="2523" t="s">
        <v>93</v>
      </c>
      <c r="V41" s="2522" t="s">
        <v>91</v>
      </c>
      <c r="W41" s="2522" t="s">
        <v>92</v>
      </c>
      <c r="X41" s="2522" t="s">
        <v>91</v>
      </c>
      <c r="Y41" s="2522" t="s">
        <v>92</v>
      </c>
      <c r="Z41" s="2523" t="s">
        <v>91</v>
      </c>
      <c r="AA41" s="2522" t="s">
        <v>93</v>
      </c>
      <c r="AB41" s="2522" t="s">
        <v>93</v>
      </c>
      <c r="AC41" s="2522" t="s">
        <v>93</v>
      </c>
      <c r="AD41" s="2522" t="s">
        <v>93</v>
      </c>
      <c r="AE41" s="2694" t="s">
        <v>93</v>
      </c>
      <c r="AF41" s="2523" t="s">
        <v>93</v>
      </c>
      <c r="AG41" s="2522" t="s">
        <v>91</v>
      </c>
    </row>
    <row r="42" ht="18.75" customHeight="1">
      <c r="A42" s="158"/>
      <c r="B42" s="2893" t="s">
        <v>228</v>
      </c>
      <c r="C42" s="2824" t="s">
        <v>1150</v>
      </c>
      <c r="D42" s="2522" t="s">
        <v>1703</v>
      </c>
      <c r="E42" s="2522" t="s">
        <v>1703</v>
      </c>
      <c r="F42" s="2522" t="s">
        <v>91</v>
      </c>
      <c r="G42" s="2523" t="s">
        <v>91</v>
      </c>
      <c r="H42" s="2522" t="s">
        <v>1703</v>
      </c>
      <c r="I42" s="2523" t="s">
        <v>1702</v>
      </c>
      <c r="J42" s="2522" t="s">
        <v>93</v>
      </c>
      <c r="K42" s="2523" t="s">
        <v>93</v>
      </c>
      <c r="L42" s="2522" t="s">
        <v>93</v>
      </c>
      <c r="M42" s="2522" t="s">
        <v>93</v>
      </c>
      <c r="N42" s="2523" t="s">
        <v>93</v>
      </c>
      <c r="O42" s="2523" t="s">
        <v>1703</v>
      </c>
      <c r="P42" s="2522" t="s">
        <v>93</v>
      </c>
      <c r="Q42" s="2522" t="s">
        <v>93</v>
      </c>
      <c r="R42" s="2523" t="s">
        <v>93</v>
      </c>
      <c r="S42" s="2523" t="s">
        <v>1703</v>
      </c>
      <c r="T42" s="2527" t="s">
        <v>93</v>
      </c>
      <c r="U42" s="2523" t="s">
        <v>93</v>
      </c>
      <c r="V42" s="2522" t="s">
        <v>93</v>
      </c>
      <c r="W42" s="2522" t="s">
        <v>93</v>
      </c>
      <c r="X42" s="2522" t="s">
        <v>93</v>
      </c>
      <c r="Y42" s="2522" t="s">
        <v>93</v>
      </c>
      <c r="Z42" s="2523" t="s">
        <v>93</v>
      </c>
      <c r="AA42" s="2522" t="s">
        <v>93</v>
      </c>
      <c r="AB42" s="2522" t="s">
        <v>93</v>
      </c>
      <c r="AC42" s="2522" t="s">
        <v>93</v>
      </c>
      <c r="AD42" s="2522" t="s">
        <v>93</v>
      </c>
      <c r="AE42" s="2694" t="s">
        <v>93</v>
      </c>
      <c r="AF42" s="2523" t="s">
        <v>93</v>
      </c>
      <c r="AG42" s="2522" t="s">
        <v>93</v>
      </c>
    </row>
    <row r="43" ht="18.75" customHeight="1">
      <c r="A43" s="158"/>
      <c r="B43" s="135"/>
      <c r="C43" s="2825" t="s">
        <v>229</v>
      </c>
      <c r="D43" s="2522" t="s">
        <v>1702</v>
      </c>
      <c r="E43" s="2522" t="s">
        <v>1703</v>
      </c>
      <c r="F43" s="2522" t="s">
        <v>1703</v>
      </c>
      <c r="G43" s="2523" t="s">
        <v>1703</v>
      </c>
      <c r="H43" s="2522" t="s">
        <v>1703</v>
      </c>
      <c r="I43" s="2523" t="s">
        <v>1703</v>
      </c>
      <c r="J43" s="2522" t="s">
        <v>93</v>
      </c>
      <c r="K43" s="2523" t="s">
        <v>93</v>
      </c>
      <c r="L43" s="2522" t="s">
        <v>1703</v>
      </c>
      <c r="M43" s="2522" t="s">
        <v>1703</v>
      </c>
      <c r="N43" s="2523" t="s">
        <v>1703</v>
      </c>
      <c r="O43" s="2523" t="s">
        <v>1703</v>
      </c>
      <c r="P43" s="2522" t="s">
        <v>1703</v>
      </c>
      <c r="Q43" s="2522" t="s">
        <v>1703</v>
      </c>
      <c r="R43" s="2523" t="s">
        <v>1703</v>
      </c>
      <c r="S43" s="2523" t="s">
        <v>1702</v>
      </c>
      <c r="T43" s="2522" t="s">
        <v>1703</v>
      </c>
      <c r="U43" s="2523" t="s">
        <v>1703</v>
      </c>
      <c r="V43" s="2522" t="s">
        <v>92</v>
      </c>
      <c r="W43" s="2522" t="s">
        <v>92</v>
      </c>
      <c r="X43" s="2522" t="s">
        <v>92</v>
      </c>
      <c r="Y43" s="2522" t="s">
        <v>92</v>
      </c>
      <c r="Z43" s="2523" t="s">
        <v>92</v>
      </c>
      <c r="AA43" s="2522" t="s">
        <v>93</v>
      </c>
      <c r="AB43" s="2522" t="s">
        <v>93</v>
      </c>
      <c r="AC43" s="2522" t="s">
        <v>93</v>
      </c>
      <c r="AD43" s="2522" t="s">
        <v>93</v>
      </c>
      <c r="AE43" s="2694" t="s">
        <v>92</v>
      </c>
      <c r="AF43" s="2523" t="s">
        <v>92</v>
      </c>
      <c r="AG43" s="2522" t="s">
        <v>93</v>
      </c>
    </row>
    <row r="44" ht="18.75" customHeight="1">
      <c r="A44" s="158"/>
      <c r="B44" s="135"/>
      <c r="C44" s="2825" t="s">
        <v>1370</v>
      </c>
      <c r="D44" s="2522" t="s">
        <v>1702</v>
      </c>
      <c r="E44" s="2522" t="s">
        <v>1702</v>
      </c>
      <c r="F44" s="2522" t="s">
        <v>1702</v>
      </c>
      <c r="G44" s="2523" t="s">
        <v>1703</v>
      </c>
      <c r="H44" s="2522" t="s">
        <v>1702</v>
      </c>
      <c r="I44" s="2523" t="s">
        <v>1703</v>
      </c>
      <c r="J44" s="2522" t="s">
        <v>1702</v>
      </c>
      <c r="K44" s="2523" t="s">
        <v>1703</v>
      </c>
      <c r="L44" s="2522" t="s">
        <v>1702</v>
      </c>
      <c r="M44" s="2522" t="s">
        <v>1702</v>
      </c>
      <c r="N44" s="2523" t="s">
        <v>1703</v>
      </c>
      <c r="O44" s="2523" t="s">
        <v>1703</v>
      </c>
      <c r="P44" s="2522" t="s">
        <v>1703</v>
      </c>
      <c r="Q44" s="2522" t="s">
        <v>1702</v>
      </c>
      <c r="R44" s="2523" t="s">
        <v>1703</v>
      </c>
      <c r="S44" s="2523" t="s">
        <v>1703</v>
      </c>
      <c r="T44" s="2522" t="s">
        <v>1703</v>
      </c>
      <c r="U44" s="2523" t="s">
        <v>1702</v>
      </c>
      <c r="V44" s="2522" t="s">
        <v>1703</v>
      </c>
      <c r="W44" s="2522" t="s">
        <v>1703</v>
      </c>
      <c r="X44" s="2522" t="s">
        <v>1703</v>
      </c>
      <c r="Y44" s="2522" t="s">
        <v>1702</v>
      </c>
      <c r="Z44" s="2523" t="s">
        <v>1703</v>
      </c>
      <c r="AA44" s="2522" t="s">
        <v>92</v>
      </c>
      <c r="AB44" s="2522" t="s">
        <v>92</v>
      </c>
      <c r="AC44" s="2522" t="s">
        <v>92</v>
      </c>
      <c r="AD44" s="2522" t="s">
        <v>92</v>
      </c>
      <c r="AE44" s="2694" t="s">
        <v>93</v>
      </c>
      <c r="AF44" s="2523" t="s">
        <v>93</v>
      </c>
      <c r="AG44" s="2522" t="s">
        <v>93</v>
      </c>
    </row>
    <row r="45" ht="18.75" customHeight="1">
      <c r="A45" s="158"/>
      <c r="B45" s="2894" t="s">
        <v>234</v>
      </c>
      <c r="C45" s="2895" t="s">
        <v>1106</v>
      </c>
      <c r="D45" s="2522" t="s">
        <v>1702</v>
      </c>
      <c r="E45" s="2522" t="s">
        <v>1702</v>
      </c>
      <c r="F45" s="2522" t="s">
        <v>1703</v>
      </c>
      <c r="G45" s="2523" t="s">
        <v>1702</v>
      </c>
      <c r="H45" s="2522" t="s">
        <v>1702</v>
      </c>
      <c r="I45" s="2523" t="s">
        <v>1703</v>
      </c>
      <c r="J45" s="2522" t="s">
        <v>117</v>
      </c>
      <c r="K45" s="2523" t="s">
        <v>1702</v>
      </c>
      <c r="L45" s="2522" t="s">
        <v>1702</v>
      </c>
      <c r="M45" s="2522" t="s">
        <v>1703</v>
      </c>
      <c r="N45" s="2523" t="s">
        <v>1703</v>
      </c>
      <c r="O45" s="2523" t="s">
        <v>118</v>
      </c>
      <c r="P45" s="2522" t="s">
        <v>118</v>
      </c>
      <c r="Q45" s="2522" t="s">
        <v>118</v>
      </c>
      <c r="R45" s="2523" t="s">
        <v>118</v>
      </c>
      <c r="S45" s="2523" t="s">
        <v>118</v>
      </c>
      <c r="T45" s="2530" t="s">
        <v>118</v>
      </c>
      <c r="U45" s="2523" t="s">
        <v>118</v>
      </c>
      <c r="V45" s="2522" t="s">
        <v>118</v>
      </c>
      <c r="W45" s="2522" t="s">
        <v>118</v>
      </c>
      <c r="X45" s="2522" t="s">
        <v>118</v>
      </c>
      <c r="Y45" s="2522" t="s">
        <v>118</v>
      </c>
      <c r="Z45" s="2523" t="s">
        <v>118</v>
      </c>
      <c r="AA45" s="2705" t="s">
        <v>118</v>
      </c>
      <c r="AB45" s="2705" t="s">
        <v>118</v>
      </c>
      <c r="AC45" s="2705" t="s">
        <v>118</v>
      </c>
      <c r="AD45" s="2705" t="s">
        <v>118</v>
      </c>
      <c r="AE45" s="2694" t="s">
        <v>118</v>
      </c>
      <c r="AF45" s="2706" t="s">
        <v>118</v>
      </c>
      <c r="AG45" s="2705" t="s">
        <v>118</v>
      </c>
    </row>
    <row r="46" ht="18.75" customHeight="1">
      <c r="A46" s="158"/>
      <c r="B46" s="135"/>
      <c r="C46" s="2896" t="s">
        <v>1249</v>
      </c>
      <c r="D46" s="2522" t="s">
        <v>118</v>
      </c>
      <c r="E46" s="2522" t="s">
        <v>118</v>
      </c>
      <c r="F46" s="2522" t="s">
        <v>118</v>
      </c>
      <c r="G46" s="2523" t="s">
        <v>118</v>
      </c>
      <c r="H46" s="2522" t="s">
        <v>118</v>
      </c>
      <c r="I46" s="2523" t="s">
        <v>118</v>
      </c>
      <c r="J46" s="2522" t="s">
        <v>118</v>
      </c>
      <c r="K46" s="2523" t="s">
        <v>118</v>
      </c>
      <c r="L46" s="2522" t="s">
        <v>118</v>
      </c>
      <c r="M46" s="2522" t="s">
        <v>118</v>
      </c>
      <c r="N46" s="2523" t="s">
        <v>118</v>
      </c>
      <c r="O46" s="2523" t="s">
        <v>1702</v>
      </c>
      <c r="P46" s="2522" t="s">
        <v>1703</v>
      </c>
      <c r="Q46" s="2522" t="s">
        <v>1702</v>
      </c>
      <c r="R46" s="2523" t="s">
        <v>1703</v>
      </c>
      <c r="S46" s="2523" t="s">
        <v>1702</v>
      </c>
      <c r="T46" s="2862" t="s">
        <v>1702</v>
      </c>
      <c r="U46" s="2863" t="s">
        <v>1702</v>
      </c>
      <c r="V46" s="2522" t="s">
        <v>91</v>
      </c>
      <c r="W46" s="2522" t="s">
        <v>92</v>
      </c>
      <c r="X46" s="2522" t="s">
        <v>91</v>
      </c>
      <c r="Y46" s="2522" t="s">
        <v>92</v>
      </c>
      <c r="Z46" s="2523" t="s">
        <v>92</v>
      </c>
      <c r="AA46" s="2522" t="s">
        <v>93</v>
      </c>
      <c r="AB46" s="2522" t="s">
        <v>93</v>
      </c>
      <c r="AC46" s="2522" t="s">
        <v>93</v>
      </c>
      <c r="AD46" s="2522" t="s">
        <v>93</v>
      </c>
      <c r="AE46" s="2694" t="s">
        <v>93</v>
      </c>
      <c r="AF46" s="2523" t="s">
        <v>93</v>
      </c>
      <c r="AG46" s="2522" t="s">
        <v>93</v>
      </c>
    </row>
    <row r="47" ht="18.75" customHeight="1">
      <c r="A47" s="158"/>
      <c r="B47" s="135"/>
      <c r="C47" s="2828" t="s">
        <v>1375</v>
      </c>
      <c r="D47" s="2522" t="s">
        <v>1702</v>
      </c>
      <c r="E47" s="2522" t="s">
        <v>1702</v>
      </c>
      <c r="F47" s="2522" t="s">
        <v>1703</v>
      </c>
      <c r="G47" s="2523" t="s">
        <v>1702</v>
      </c>
      <c r="H47" s="2522" t="s">
        <v>1702</v>
      </c>
      <c r="I47" s="2523" t="s">
        <v>1703</v>
      </c>
      <c r="J47" s="2522" t="s">
        <v>1702</v>
      </c>
      <c r="K47" s="2523" t="s">
        <v>117</v>
      </c>
      <c r="L47" s="2522" t="s">
        <v>93</v>
      </c>
      <c r="M47" s="2522" t="s">
        <v>93</v>
      </c>
      <c r="N47" s="2523" t="s">
        <v>93</v>
      </c>
      <c r="O47" s="2523" t="s">
        <v>1702</v>
      </c>
      <c r="P47" s="2522" t="s">
        <v>1703</v>
      </c>
      <c r="Q47" s="2522" t="s">
        <v>1702</v>
      </c>
      <c r="R47" s="2523" t="s">
        <v>1703</v>
      </c>
      <c r="S47" s="2523" t="s">
        <v>1702</v>
      </c>
      <c r="T47" s="2522" t="s">
        <v>1702</v>
      </c>
      <c r="U47" s="2523" t="s">
        <v>1702</v>
      </c>
      <c r="V47" s="2522" t="s">
        <v>91</v>
      </c>
      <c r="W47" s="2522" t="s">
        <v>92</v>
      </c>
      <c r="X47" s="2522" t="s">
        <v>91</v>
      </c>
      <c r="Y47" s="2522" t="s">
        <v>92</v>
      </c>
      <c r="Z47" s="2523" t="s">
        <v>92</v>
      </c>
      <c r="AA47" s="2522" t="s">
        <v>93</v>
      </c>
      <c r="AB47" s="2522" t="s">
        <v>93</v>
      </c>
      <c r="AC47" s="2522" t="s">
        <v>93</v>
      </c>
      <c r="AD47" s="2522" t="s">
        <v>93</v>
      </c>
      <c r="AE47" s="2694" t="s">
        <v>117</v>
      </c>
      <c r="AF47" s="2523" t="s">
        <v>92</v>
      </c>
      <c r="AG47" s="2522" t="s">
        <v>91</v>
      </c>
    </row>
    <row r="48" ht="18.75" customHeight="1">
      <c r="A48" s="158"/>
      <c r="B48" s="135"/>
      <c r="C48" s="2895" t="s">
        <v>1377</v>
      </c>
      <c r="D48" s="2522" t="s">
        <v>1702</v>
      </c>
      <c r="E48" s="2522" t="s">
        <v>1702</v>
      </c>
      <c r="F48" s="2522" t="s">
        <v>1703</v>
      </c>
      <c r="G48" s="2523" t="s">
        <v>1702</v>
      </c>
      <c r="H48" s="2522" t="s">
        <v>1702</v>
      </c>
      <c r="I48" s="2523" t="s">
        <v>1703</v>
      </c>
      <c r="J48" s="2705" t="s">
        <v>118</v>
      </c>
      <c r="K48" s="2706" t="s">
        <v>118</v>
      </c>
      <c r="L48" s="2705" t="s">
        <v>118</v>
      </c>
      <c r="M48" s="2705" t="s">
        <v>118</v>
      </c>
      <c r="N48" s="2706" t="s">
        <v>118</v>
      </c>
      <c r="O48" s="2706" t="s">
        <v>118</v>
      </c>
      <c r="P48" s="2705" t="s">
        <v>118</v>
      </c>
      <c r="Q48" s="2705" t="s">
        <v>118</v>
      </c>
      <c r="R48" s="2706" t="s">
        <v>118</v>
      </c>
      <c r="S48" s="2706" t="s">
        <v>118</v>
      </c>
      <c r="T48" s="2530" t="s">
        <v>118</v>
      </c>
      <c r="U48" s="2706" t="s">
        <v>118</v>
      </c>
      <c r="V48" s="2705" t="s">
        <v>118</v>
      </c>
      <c r="W48" s="2522" t="s">
        <v>118</v>
      </c>
      <c r="X48" s="2522" t="s">
        <v>118</v>
      </c>
      <c r="Y48" s="2522" t="s">
        <v>118</v>
      </c>
      <c r="Z48" s="2523" t="s">
        <v>118</v>
      </c>
      <c r="AA48" s="2705" t="s">
        <v>118</v>
      </c>
      <c r="AB48" s="2705" t="s">
        <v>118</v>
      </c>
      <c r="AC48" s="2705" t="s">
        <v>118</v>
      </c>
      <c r="AD48" s="2705" t="s">
        <v>118</v>
      </c>
      <c r="AE48" s="2795" t="s">
        <v>118</v>
      </c>
      <c r="AF48" s="2706" t="s">
        <v>118</v>
      </c>
      <c r="AG48" s="2705" t="s">
        <v>118</v>
      </c>
    </row>
    <row r="49" ht="18.75" customHeight="1">
      <c r="A49" s="158"/>
      <c r="B49" s="135"/>
      <c r="C49" s="2828" t="s">
        <v>1378</v>
      </c>
      <c r="D49" s="2705" t="s">
        <v>118</v>
      </c>
      <c r="E49" s="2705" t="s">
        <v>118</v>
      </c>
      <c r="F49" s="2705" t="s">
        <v>118</v>
      </c>
      <c r="G49" s="2706" t="s">
        <v>118</v>
      </c>
      <c r="H49" s="2705" t="s">
        <v>118</v>
      </c>
      <c r="I49" s="2706" t="s">
        <v>118</v>
      </c>
      <c r="J49" s="2522" t="s">
        <v>1702</v>
      </c>
      <c r="K49" s="2523" t="s">
        <v>117</v>
      </c>
      <c r="L49" s="2522" t="s">
        <v>117</v>
      </c>
      <c r="M49" s="2522" t="s">
        <v>117</v>
      </c>
      <c r="N49" s="2523" t="s">
        <v>1702</v>
      </c>
      <c r="O49" s="2523" t="s">
        <v>1702</v>
      </c>
      <c r="P49" s="2522" t="s">
        <v>1703</v>
      </c>
      <c r="Q49" s="2522" t="s">
        <v>1702</v>
      </c>
      <c r="R49" s="2523" t="s">
        <v>1703</v>
      </c>
      <c r="S49" s="2523" t="s">
        <v>1702</v>
      </c>
      <c r="T49" s="2522" t="s">
        <v>1702</v>
      </c>
      <c r="U49" s="2523" t="s">
        <v>1702</v>
      </c>
      <c r="V49" s="2522" t="s">
        <v>93</v>
      </c>
      <c r="W49" s="2522" t="s">
        <v>93</v>
      </c>
      <c r="X49" s="2522" t="s">
        <v>93</v>
      </c>
      <c r="Y49" s="2522" t="s">
        <v>93</v>
      </c>
      <c r="Z49" s="2523" t="s">
        <v>93</v>
      </c>
      <c r="AA49" s="2522" t="s">
        <v>93</v>
      </c>
      <c r="AB49" s="2522" t="s">
        <v>93</v>
      </c>
      <c r="AC49" s="2522" t="s">
        <v>93</v>
      </c>
      <c r="AD49" s="2522" t="s">
        <v>93</v>
      </c>
      <c r="AE49" s="2694" t="s">
        <v>93</v>
      </c>
      <c r="AF49" s="2523" t="s">
        <v>93</v>
      </c>
      <c r="AG49" s="2522" t="s">
        <v>93</v>
      </c>
    </row>
    <row r="50" ht="18.75" customHeight="1">
      <c r="A50" s="158"/>
      <c r="B50" s="2897" t="s">
        <v>1303</v>
      </c>
      <c r="C50" s="2831" t="s">
        <v>1304</v>
      </c>
      <c r="D50" s="2522" t="s">
        <v>1702</v>
      </c>
      <c r="E50" s="2522" t="s">
        <v>1702</v>
      </c>
      <c r="F50" s="2522" t="s">
        <v>1702</v>
      </c>
      <c r="G50" s="2523" t="s">
        <v>1702</v>
      </c>
      <c r="H50" s="2522" t="s">
        <v>1702</v>
      </c>
      <c r="I50" s="2523" t="s">
        <v>1703</v>
      </c>
      <c r="J50" s="2522" t="s">
        <v>93</v>
      </c>
      <c r="K50" s="2523" t="s">
        <v>93</v>
      </c>
      <c r="L50" s="2522" t="s">
        <v>1703</v>
      </c>
      <c r="M50" s="2522" t="s">
        <v>1703</v>
      </c>
      <c r="N50" s="2523" t="s">
        <v>1703</v>
      </c>
      <c r="O50" s="2523" t="s">
        <v>1703</v>
      </c>
      <c r="P50" s="2522" t="s">
        <v>1703</v>
      </c>
      <c r="Q50" s="2522" t="s">
        <v>1702</v>
      </c>
      <c r="R50" s="2523" t="s">
        <v>1702</v>
      </c>
      <c r="S50" s="2523" t="s">
        <v>1702</v>
      </c>
      <c r="T50" s="2522" t="s">
        <v>1702</v>
      </c>
      <c r="U50" s="2523" t="s">
        <v>1703</v>
      </c>
      <c r="V50" s="2522" t="s">
        <v>1702</v>
      </c>
      <c r="W50" s="2522" t="s">
        <v>1702</v>
      </c>
      <c r="X50" s="2522" t="s">
        <v>92</v>
      </c>
      <c r="Y50" s="2522" t="s">
        <v>92</v>
      </c>
      <c r="Z50" s="2523" t="s">
        <v>92</v>
      </c>
      <c r="AA50" s="2522" t="s">
        <v>93</v>
      </c>
      <c r="AB50" s="2522" t="s">
        <v>93</v>
      </c>
      <c r="AC50" s="2522" t="s">
        <v>93</v>
      </c>
      <c r="AD50" s="2522" t="s">
        <v>93</v>
      </c>
      <c r="AE50" s="2694" t="s">
        <v>91</v>
      </c>
      <c r="AF50" s="2523" t="s">
        <v>92</v>
      </c>
      <c r="AG50" s="2522" t="s">
        <v>92</v>
      </c>
    </row>
    <row r="51" ht="18.75" customHeight="1">
      <c r="A51" s="158"/>
      <c r="B51" s="135"/>
      <c r="C51" s="2898" t="s">
        <v>1380</v>
      </c>
      <c r="D51" s="2522" t="s">
        <v>1702</v>
      </c>
      <c r="E51" s="2522" t="s">
        <v>1702</v>
      </c>
      <c r="F51" s="2522" t="s">
        <v>1702</v>
      </c>
      <c r="G51" s="2523" t="s">
        <v>1702</v>
      </c>
      <c r="H51" s="2522" t="s">
        <v>93</v>
      </c>
      <c r="I51" s="2523" t="s">
        <v>93</v>
      </c>
      <c r="J51" s="2522" t="s">
        <v>93</v>
      </c>
      <c r="K51" s="2523" t="s">
        <v>93</v>
      </c>
      <c r="L51" s="2522" t="s">
        <v>1703</v>
      </c>
      <c r="M51" s="2522" t="s">
        <v>1703</v>
      </c>
      <c r="N51" s="2523" t="s">
        <v>1703</v>
      </c>
      <c r="O51" s="2523" t="s">
        <v>93</v>
      </c>
      <c r="P51" s="2522" t="s">
        <v>1703</v>
      </c>
      <c r="Q51" s="2522" t="s">
        <v>1702</v>
      </c>
      <c r="R51" s="2523" t="s">
        <v>1702</v>
      </c>
      <c r="S51" s="2523" t="s">
        <v>1702</v>
      </c>
      <c r="T51" s="2522" t="s">
        <v>1702</v>
      </c>
      <c r="U51" s="2523" t="s">
        <v>1703</v>
      </c>
      <c r="V51" s="2522" t="s">
        <v>93</v>
      </c>
      <c r="W51" s="2522" t="s">
        <v>93</v>
      </c>
      <c r="X51" s="2522" t="s">
        <v>93</v>
      </c>
      <c r="Y51" s="2522" t="s">
        <v>93</v>
      </c>
      <c r="Z51" s="2523" t="s">
        <v>93</v>
      </c>
      <c r="AA51" s="2522" t="s">
        <v>93</v>
      </c>
      <c r="AB51" s="2522" t="s">
        <v>93</v>
      </c>
      <c r="AC51" s="2522" t="s">
        <v>93</v>
      </c>
      <c r="AD51" s="2522" t="s">
        <v>93</v>
      </c>
      <c r="AE51" s="2694" t="s">
        <v>93</v>
      </c>
      <c r="AF51" s="2523" t="s">
        <v>93</v>
      </c>
      <c r="AG51" s="2522" t="s">
        <v>92</v>
      </c>
    </row>
    <row r="52" ht="18.75" customHeight="1">
      <c r="A52" s="158"/>
      <c r="B52" s="2899" t="s">
        <v>1285</v>
      </c>
      <c r="C52" s="2834" t="s">
        <v>1955</v>
      </c>
      <c r="D52" s="2522" t="s">
        <v>1702</v>
      </c>
      <c r="E52" s="2522" t="s">
        <v>1702</v>
      </c>
      <c r="F52" s="2522" t="s">
        <v>1702</v>
      </c>
      <c r="G52" s="2523" t="s">
        <v>1702</v>
      </c>
      <c r="H52" s="2522" t="s">
        <v>1702</v>
      </c>
      <c r="I52" s="2523" t="s">
        <v>1703</v>
      </c>
      <c r="J52" s="2522" t="s">
        <v>1702</v>
      </c>
      <c r="K52" s="2523" t="s">
        <v>1702</v>
      </c>
      <c r="L52" s="2522" t="s">
        <v>1702</v>
      </c>
      <c r="M52" s="2522" t="s">
        <v>1702</v>
      </c>
      <c r="N52" s="2523" t="s">
        <v>1702</v>
      </c>
      <c r="O52" s="2523" t="s">
        <v>1702</v>
      </c>
      <c r="P52" s="2522" t="s">
        <v>1702</v>
      </c>
      <c r="Q52" s="2522" t="s">
        <v>1703</v>
      </c>
      <c r="R52" s="2523" t="s">
        <v>1703</v>
      </c>
      <c r="S52" s="2523" t="s">
        <v>1702</v>
      </c>
      <c r="T52" s="2527" t="s">
        <v>93</v>
      </c>
      <c r="U52" s="2523" t="s">
        <v>93</v>
      </c>
      <c r="V52" s="2522" t="s">
        <v>91</v>
      </c>
      <c r="W52" s="2522" t="s">
        <v>92</v>
      </c>
      <c r="X52" s="2522" t="s">
        <v>91</v>
      </c>
      <c r="Y52" s="2522" t="s">
        <v>91</v>
      </c>
      <c r="Z52" s="2523" t="s">
        <v>91</v>
      </c>
      <c r="AA52" s="2522" t="s">
        <v>91</v>
      </c>
      <c r="AB52" s="2522" t="s">
        <v>91</v>
      </c>
      <c r="AC52" s="2522" t="s">
        <v>91</v>
      </c>
      <c r="AD52" s="2522" t="s">
        <v>91</v>
      </c>
      <c r="AE52" s="2694" t="s">
        <v>91</v>
      </c>
      <c r="AF52" s="2523" t="s">
        <v>92</v>
      </c>
      <c r="AG52" s="2522" t="s">
        <v>117</v>
      </c>
    </row>
    <row r="53" ht="18.75" customHeight="1">
      <c r="A53" s="158"/>
      <c r="B53" s="2900" t="s">
        <v>200</v>
      </c>
      <c r="C53" s="2901" t="s">
        <v>1276</v>
      </c>
      <c r="D53" s="2522" t="s">
        <v>1702</v>
      </c>
      <c r="E53" s="2522" t="s">
        <v>1703</v>
      </c>
      <c r="F53" s="2522" t="s">
        <v>1703</v>
      </c>
      <c r="G53" s="2523" t="s">
        <v>1702</v>
      </c>
      <c r="H53" s="2522" t="s">
        <v>1702</v>
      </c>
      <c r="I53" s="2523" t="s">
        <v>1703</v>
      </c>
      <c r="J53" s="2522" t="s">
        <v>93</v>
      </c>
      <c r="K53" s="2523" t="s">
        <v>93</v>
      </c>
      <c r="L53" s="2522" t="s">
        <v>93</v>
      </c>
      <c r="M53" s="2522" t="s">
        <v>93</v>
      </c>
      <c r="N53" s="2523" t="s">
        <v>93</v>
      </c>
      <c r="O53" s="2523" t="s">
        <v>93</v>
      </c>
      <c r="P53" s="2705" t="s">
        <v>118</v>
      </c>
      <c r="Q53" s="2705" t="s">
        <v>118</v>
      </c>
      <c r="R53" s="2706" t="s">
        <v>118</v>
      </c>
      <c r="S53" s="2706" t="s">
        <v>118</v>
      </c>
      <c r="T53" s="2530" t="s">
        <v>118</v>
      </c>
      <c r="U53" s="2706" t="s">
        <v>118</v>
      </c>
      <c r="V53" s="2705" t="s">
        <v>118</v>
      </c>
      <c r="W53" s="2522" t="s">
        <v>118</v>
      </c>
      <c r="X53" s="2522" t="s">
        <v>118</v>
      </c>
      <c r="Y53" s="2522" t="s">
        <v>118</v>
      </c>
      <c r="Z53" s="2523" t="s">
        <v>118</v>
      </c>
      <c r="AA53" s="2705" t="s">
        <v>118</v>
      </c>
      <c r="AB53" s="2705" t="s">
        <v>118</v>
      </c>
      <c r="AC53" s="2705" t="s">
        <v>118</v>
      </c>
      <c r="AD53" s="2705" t="s">
        <v>118</v>
      </c>
      <c r="AE53" s="2795" t="s">
        <v>118</v>
      </c>
      <c r="AF53" s="2706" t="s">
        <v>118</v>
      </c>
      <c r="AG53" s="2705" t="s">
        <v>118</v>
      </c>
    </row>
    <row r="54" ht="18.75" customHeight="1">
      <c r="A54" s="158"/>
      <c r="B54" s="135"/>
      <c r="C54" s="2902" t="s">
        <v>201</v>
      </c>
      <c r="D54" s="2705" t="s">
        <v>118</v>
      </c>
      <c r="E54" s="2705" t="s">
        <v>118</v>
      </c>
      <c r="F54" s="2705" t="s">
        <v>118</v>
      </c>
      <c r="G54" s="2706" t="s">
        <v>118</v>
      </c>
      <c r="H54" s="2705" t="s">
        <v>118</v>
      </c>
      <c r="I54" s="2706" t="s">
        <v>118</v>
      </c>
      <c r="J54" s="2705" t="s">
        <v>118</v>
      </c>
      <c r="K54" s="2706" t="s">
        <v>118</v>
      </c>
      <c r="L54" s="2705" t="s">
        <v>118</v>
      </c>
      <c r="M54" s="2705" t="s">
        <v>118</v>
      </c>
      <c r="N54" s="2706" t="s">
        <v>118</v>
      </c>
      <c r="O54" s="2706" t="s">
        <v>118</v>
      </c>
      <c r="P54" s="2522" t="s">
        <v>1702</v>
      </c>
      <c r="Q54" s="2522" t="s">
        <v>1702</v>
      </c>
      <c r="R54" s="2523" t="s">
        <v>1703</v>
      </c>
      <c r="S54" s="2523" t="s">
        <v>117</v>
      </c>
      <c r="T54" s="2903" t="s">
        <v>1702</v>
      </c>
      <c r="U54" s="2523" t="s">
        <v>1703</v>
      </c>
      <c r="V54" s="2522" t="s">
        <v>91</v>
      </c>
      <c r="W54" s="2522" t="s">
        <v>92</v>
      </c>
      <c r="X54" s="2522" t="s">
        <v>91</v>
      </c>
      <c r="Y54" s="2522" t="s">
        <v>92</v>
      </c>
      <c r="Z54" s="2523" t="s">
        <v>91</v>
      </c>
      <c r="AA54" s="2522" t="s">
        <v>91</v>
      </c>
      <c r="AB54" s="2522" t="s">
        <v>91</v>
      </c>
      <c r="AC54" s="2522" t="s">
        <v>91</v>
      </c>
      <c r="AD54" s="2522" t="s">
        <v>91</v>
      </c>
      <c r="AE54" s="2694" t="s">
        <v>93</v>
      </c>
      <c r="AF54" s="2523" t="s">
        <v>93</v>
      </c>
      <c r="AG54" s="2522" t="s">
        <v>117</v>
      </c>
    </row>
    <row r="55" ht="11.25" customHeight="1">
      <c r="A55" s="2576"/>
      <c r="B55" s="2780"/>
      <c r="C55" s="2732"/>
      <c r="D55" s="2253" t="str">
        <f t="shared" ref="D55:AG55" si="2">CONCATENATE("{""status"": ", IF(GT(D56, D57), """aangenomen""", """verworpen"""), ", ""title"": """, D5, """, ""url"": """,D31  , """, ""voor"":", D56,", ""tegen"": ", D57, ", ""onthouden"":", D58, "}")</f>
        <v>{"status": "aangenomen", "title": "M0002", "url": "https://www.reddit.com/r/RMTK/comments/9uhc7u/", "voor":18, "tegen": 16, "onthouden":0}</v>
      </c>
      <c r="E55" s="2253" t="str">
        <f t="shared" si="2"/>
        <v>{"status": "verworpen", "title": "M0003", "url": "https://www.reddit.com/r/RMTK/comments/9v3mni", "voor":15, "tegen": 19, "onthouden":0}</v>
      </c>
      <c r="F55" s="2253" t="str">
        <f t="shared" si="2"/>
        <v>{"status": "verworpen", "title": "M0004", "url": "https://www.reddit.com/r/RMTK/comments/9vbs93", "voor":15, "tegen": 19, "onthouden":0}</v>
      </c>
      <c r="G55" s="2253" t="str">
        <f t="shared" si="2"/>
        <v>{"status": "aangenomen", "title": "W0001", "url": "https://www.reddit.com/r/RMTK/comments/9uriq3", "voor":32, "tegen": 2, "onthouden":0}</v>
      </c>
      <c r="H55" s="2253" t="str">
        <f t="shared" si="2"/>
        <v>{"status": "aangenomen", "title": "M0005", "url": "https://www.reddit.com/r/RMTK/comments/9xaw30", "voor":23, "tegen": 3, "onthouden":5}</v>
      </c>
      <c r="I55" s="2253" t="str">
        <f t="shared" si="2"/>
        <v>{"status": "aangenomen", "title": "W0002", "url": "https://www.reddit.com/r/RMTK/comments/9uriq3", "voor":16, "tegen": 15, "onthouden":0}</v>
      </c>
      <c r="J55" s="2253" t="str">
        <f t="shared" si="2"/>
        <v>{"status": "aangenomen", "title": "M0006", "url": "https://reddit.com/r/RMTK/comments/9yb2l5", "voor":11, "tegen": 10, "onthouden":3}</v>
      </c>
      <c r="K55" s="2253" t="str">
        <f t="shared" si="2"/>
        <v>{"status": "aangenomen", "title": "M0007", "url": "https://reddit.com/r/RMTK/comments/9yw1yh/", "voor":19, "tegen": 2, "onthouden":3}</v>
      </c>
      <c r="L55" s="2253" t="str">
        <f t="shared" si="2"/>
        <v>{"status": "aangenomen", "title": "M0008", "url": "https://www.reddit.com/r/RMTK/comments/a0hbsz/", "voor":25, "tegen": 4, "onthouden":1}</v>
      </c>
      <c r="M55" s="2253" t="str">
        <f t="shared" si="2"/>
        <v>{"status": "aangenomen", "title": "M0009", "url": "https://reddit.com/r/RMTK/comments/a157uw/", "voor":23, "tegen": 5, "onthouden":2}</v>
      </c>
      <c r="N55" s="2253" t="str">
        <f t="shared" si="2"/>
        <v>{"status": "aangenomen", "title": "W0003-I", "url": "https://www.reddit.com/r/RMTK/comments/a1lug6/", "voor":24, "tegen": 5, "onthouden":1}</v>
      </c>
      <c r="O55" s="2253" t="str">
        <f t="shared" si="2"/>
        <v>{"status": "aangenomen", "title": "M0010", "url": "https://www.reddit.com/r/RMTK/comments/a3evk8/", "voor":25, "tegen": 4, "onthouden":0}</v>
      </c>
      <c r="P55" s="2253" t="str">
        <f t="shared" si="2"/>
        <v>{"status": "aangenomen", "title": "W0003", "url": "https://www.reddit.com/r/RMTK/comments/a0wpec/", "voor":23, "tegen": 10, "onthouden":0}</v>
      </c>
      <c r="Q55" s="2253" t="str">
        <f t="shared" si="2"/>
        <v>{"status": "aangenomen", "title": "M0011", "url": "https://reddit.com/r/RMTK/comments/a4kfpa", "voor":31, "tegen": 2, "onthouden":0}</v>
      </c>
      <c r="R55" s="2253" t="str">
        <f t="shared" si="2"/>
        <v>{"status": "verworpen", "title": "M0012", "url": "https://reddit.com/r/RMTK/comments/a4x47a", "voor":11, "tegen": 17, "onthouden":5}</v>
      </c>
      <c r="S55" s="2253" t="str">
        <f t="shared" si="2"/>
        <v>{"status": "verworpen", "title": "M0013", "url": "https://reddit.com/r/RMTK/comments/a6yip8", "voor":15, "tegen": 18, "onthouden":1}</v>
      </c>
      <c r="T55" s="2254" t="str">
        <f t="shared" si="2"/>
        <v>{"status": "aangenomen", "title": "W0004", "url": "https://reddit.com/r/RMTK/comments/a7lfim", "voor":16, "tegen": 14, "onthouden":0}</v>
      </c>
      <c r="U55" s="2253" t="str">
        <f t="shared" si="2"/>
        <v>{"status": "aangenomen", "title": "M0014", "url": "https://reddit.com/r/RMTK/comments/a9e3yl", "voor":16, "tegen": 13, "onthouden":1}</v>
      </c>
      <c r="V55" s="2253" t="str">
        <f t="shared" si="2"/>
        <v>{"status": "verworpen", "title": "M0015", "url": "https://reddit.com/r/RMTK/comments/abmvb8", "voor":9, "tegen": 19, "onthouden":0}</v>
      </c>
      <c r="W55" s="2253" t="str">
        <f t="shared" si="2"/>
        <v>{"status": "aangenomen", "title": "W0006", "url": "https://reddit.com/r/RMTK/comments/abwerm", "voor":17, "tegen": 10, "onthouden":1}</v>
      </c>
      <c r="X55" s="2253" t="str">
        <f t="shared" si="2"/>
        <v>{"status": "aangenomen", "title": "M0016", "url": "https://reddit.com/r/RMTK/comments/acgtkp", "voor":24, "tegen": 4, "onthouden":0}</v>
      </c>
      <c r="Y55" s="2253" t="str">
        <f t="shared" si="2"/>
        <v>{"status": "verworpen", "title": "W0005-I", "url": "https://reddit.com/r/RMTK/comments/acl9yo", "voor":8, "tegen": 17, "onthouden":3}</v>
      </c>
      <c r="Z55" s="2253" t="str">
        <f t="shared" si="2"/>
        <v>{"status": "aangenomen", "title": "W0005-II", "url": "https://reddit.com/r/RMTK/comments/acy21s", "voor":22, "tegen": 5, "onthouden":1}</v>
      </c>
      <c r="AA55" s="2253" t="str">
        <f t="shared" si="2"/>
        <v>{"status": "aangenomen", "title": "M0017", "url": "https://reddit.com/r/RMTK/comments/adl4nh", "voor":19, "tegen": 1, "onthouden":0}</v>
      </c>
      <c r="AB55" s="2253" t="str">
        <f t="shared" si="2"/>
        <v>{"status": "verworpen", "title": "M0018", "url": "https://reddit.com/r/RMTK/comments/ae7cyz", "voor":9, "tegen": 10, "onthouden":1}</v>
      </c>
      <c r="AC55" s="2253" t="str">
        <f t="shared" si="2"/>
        <v>{"status": "aangenomen", "title": "M0019", "url": "https://reddit.com/r/RMTK/comments/aeu8iv", "voor":17, "tegen": 1, "onthouden":2}</v>
      </c>
      <c r="AD55" s="2253" t="str">
        <f t="shared" si="2"/>
        <v>{"status": "aangenomen", "title": "W0008", "url": "https://reddit.com/r/RMTK/comments/aehqrq", "voor":17, "tegen": 3, "onthouden":0}</v>
      </c>
      <c r="AE55" s="2253" t="str">
        <f t="shared" si="2"/>
        <v>{"status": "aangenomen", "title": "W0007-I", "url": "https://reddit.com/r/RMTK/comments/agckzr", "voor":21, "tegen": 1, "onthouden":1}</v>
      </c>
      <c r="AF55" s="2253" t="str">
        <f t="shared" si="2"/>
        <v>{"status": "aangenomen", "title": "W0009", "url": "https://reddit.com/r/RMTK/comments/agz1n5", "voor":13, "tegen": 10, "onthouden":0}</v>
      </c>
      <c r="AG55" s="2253" t="str">
        <f t="shared" si="2"/>
        <v>{"status": "aangenomen", "title": "TE0001", "url": "https://reddit.com/r/RMTK/comments/aiejgc", "voor":18, "tegen": 6, "onthouden":2}</v>
      </c>
    </row>
    <row r="56" ht="18.0" customHeight="1">
      <c r="A56" s="2585" t="s">
        <v>119</v>
      </c>
      <c r="B56" s="2586" t="s">
        <v>91</v>
      </c>
      <c r="C56" s="44"/>
      <c r="D56" s="2587">
        <f t="shared" ref="D56:I56" si="3">COUNTIF(D4:D53,"Voor")</f>
        <v>18</v>
      </c>
      <c r="E56" s="2587">
        <f t="shared" si="3"/>
        <v>15</v>
      </c>
      <c r="F56" s="2587">
        <f t="shared" si="3"/>
        <v>15</v>
      </c>
      <c r="G56" s="2587">
        <f t="shared" si="3"/>
        <v>32</v>
      </c>
      <c r="H56" s="2587">
        <f t="shared" si="3"/>
        <v>23</v>
      </c>
      <c r="I56" s="2587">
        <f t="shared" si="3"/>
        <v>16</v>
      </c>
      <c r="J56" s="2587">
        <f t="shared" ref="J56:AG56" si="4">COUNTIF(J4:J54,"Voor")</f>
        <v>11</v>
      </c>
      <c r="K56" s="2587">
        <f t="shared" si="4"/>
        <v>19</v>
      </c>
      <c r="L56" s="2587">
        <f t="shared" si="4"/>
        <v>25</v>
      </c>
      <c r="M56" s="2587">
        <f t="shared" si="4"/>
        <v>23</v>
      </c>
      <c r="N56" s="2587">
        <f t="shared" si="4"/>
        <v>24</v>
      </c>
      <c r="O56" s="2587">
        <f t="shared" si="4"/>
        <v>25</v>
      </c>
      <c r="P56" s="2587">
        <f t="shared" si="4"/>
        <v>23</v>
      </c>
      <c r="Q56" s="2587">
        <f t="shared" si="4"/>
        <v>31</v>
      </c>
      <c r="R56" s="2587">
        <f t="shared" si="4"/>
        <v>11</v>
      </c>
      <c r="S56" s="2587">
        <f t="shared" si="4"/>
        <v>15</v>
      </c>
      <c r="T56" s="2588">
        <f t="shared" si="4"/>
        <v>16</v>
      </c>
      <c r="U56" s="2587">
        <f t="shared" si="4"/>
        <v>16</v>
      </c>
      <c r="V56" s="2587">
        <f t="shared" si="4"/>
        <v>9</v>
      </c>
      <c r="W56" s="2587">
        <f t="shared" si="4"/>
        <v>17</v>
      </c>
      <c r="X56" s="2587">
        <f t="shared" si="4"/>
        <v>24</v>
      </c>
      <c r="Y56" s="2587">
        <f t="shared" si="4"/>
        <v>8</v>
      </c>
      <c r="Z56" s="2587">
        <f t="shared" si="4"/>
        <v>22</v>
      </c>
      <c r="AA56" s="2587">
        <f t="shared" si="4"/>
        <v>19</v>
      </c>
      <c r="AB56" s="2587">
        <f t="shared" si="4"/>
        <v>9</v>
      </c>
      <c r="AC56" s="2587">
        <f t="shared" si="4"/>
        <v>17</v>
      </c>
      <c r="AD56" s="2587">
        <f t="shared" si="4"/>
        <v>17</v>
      </c>
      <c r="AE56" s="2587">
        <f t="shared" si="4"/>
        <v>21</v>
      </c>
      <c r="AF56" s="2587">
        <f t="shared" si="4"/>
        <v>13</v>
      </c>
      <c r="AG56" s="2587">
        <f t="shared" si="4"/>
        <v>18</v>
      </c>
    </row>
    <row r="57" ht="18.75" customHeight="1">
      <c r="A57" s="44"/>
      <c r="B57" s="2591" t="s">
        <v>92</v>
      </c>
      <c r="C57" s="44"/>
      <c r="D57" s="2592">
        <f t="shared" ref="D57:I57" si="5">COUNTIF(D4:D53,"Tegen")</f>
        <v>16</v>
      </c>
      <c r="E57" s="2592">
        <f t="shared" si="5"/>
        <v>19</v>
      </c>
      <c r="F57" s="2592">
        <f t="shared" si="5"/>
        <v>19</v>
      </c>
      <c r="G57" s="2592">
        <f t="shared" si="5"/>
        <v>2</v>
      </c>
      <c r="H57" s="2592">
        <f t="shared" si="5"/>
        <v>3</v>
      </c>
      <c r="I57" s="2592">
        <f t="shared" si="5"/>
        <v>15</v>
      </c>
      <c r="J57" s="2592">
        <f t="shared" ref="J57:AG57" si="6">COUNTIF(J4:J54,"Tegen")</f>
        <v>10</v>
      </c>
      <c r="K57" s="2592">
        <f t="shared" si="6"/>
        <v>2</v>
      </c>
      <c r="L57" s="2592">
        <f t="shared" si="6"/>
        <v>4</v>
      </c>
      <c r="M57" s="2592">
        <f t="shared" si="6"/>
        <v>5</v>
      </c>
      <c r="N57" s="2592">
        <f t="shared" si="6"/>
        <v>5</v>
      </c>
      <c r="O57" s="2592">
        <f t="shared" si="6"/>
        <v>4</v>
      </c>
      <c r="P57" s="2592">
        <f t="shared" si="6"/>
        <v>10</v>
      </c>
      <c r="Q57" s="2592">
        <f t="shared" si="6"/>
        <v>2</v>
      </c>
      <c r="R57" s="2592">
        <f t="shared" si="6"/>
        <v>17</v>
      </c>
      <c r="S57" s="2592">
        <f t="shared" si="6"/>
        <v>18</v>
      </c>
      <c r="T57" s="2593">
        <f t="shared" si="6"/>
        <v>14</v>
      </c>
      <c r="U57" s="2592">
        <f t="shared" si="6"/>
        <v>13</v>
      </c>
      <c r="V57" s="2592">
        <f t="shared" si="6"/>
        <v>19</v>
      </c>
      <c r="W57" s="2592">
        <f t="shared" si="6"/>
        <v>10</v>
      </c>
      <c r="X57" s="2592">
        <f t="shared" si="6"/>
        <v>4</v>
      </c>
      <c r="Y57" s="2592">
        <f t="shared" si="6"/>
        <v>17</v>
      </c>
      <c r="Z57" s="2592">
        <f t="shared" si="6"/>
        <v>5</v>
      </c>
      <c r="AA57" s="2592">
        <f t="shared" si="6"/>
        <v>1</v>
      </c>
      <c r="AB57" s="2592">
        <f t="shared" si="6"/>
        <v>10</v>
      </c>
      <c r="AC57" s="2592">
        <f t="shared" si="6"/>
        <v>1</v>
      </c>
      <c r="AD57" s="2592">
        <f t="shared" si="6"/>
        <v>3</v>
      </c>
      <c r="AE57" s="2592">
        <f t="shared" si="6"/>
        <v>1</v>
      </c>
      <c r="AF57" s="2592">
        <f t="shared" si="6"/>
        <v>10</v>
      </c>
      <c r="AG57" s="2592">
        <f t="shared" si="6"/>
        <v>6</v>
      </c>
    </row>
    <row r="58" ht="18.75" customHeight="1">
      <c r="A58" s="44"/>
      <c r="B58" s="2596" t="s">
        <v>120</v>
      </c>
      <c r="C58" s="44"/>
      <c r="D58" s="2597">
        <f t="shared" ref="D58:I58" si="7">COUNTIF(D4:D53,"SO")</f>
        <v>0</v>
      </c>
      <c r="E58" s="2597">
        <f t="shared" si="7"/>
        <v>0</v>
      </c>
      <c r="F58" s="2597">
        <f t="shared" si="7"/>
        <v>0</v>
      </c>
      <c r="G58" s="2597">
        <f t="shared" si="7"/>
        <v>0</v>
      </c>
      <c r="H58" s="2597">
        <f t="shared" si="7"/>
        <v>5</v>
      </c>
      <c r="I58" s="2597">
        <f t="shared" si="7"/>
        <v>0</v>
      </c>
      <c r="J58" s="2597">
        <f t="shared" ref="J58:AG58" si="8">COUNTIF(J4:J54,"SO")</f>
        <v>3</v>
      </c>
      <c r="K58" s="2597">
        <f t="shared" si="8"/>
        <v>3</v>
      </c>
      <c r="L58" s="2597">
        <f t="shared" si="8"/>
        <v>1</v>
      </c>
      <c r="M58" s="2597">
        <f t="shared" si="8"/>
        <v>2</v>
      </c>
      <c r="N58" s="2597">
        <f t="shared" si="8"/>
        <v>1</v>
      </c>
      <c r="O58" s="2597">
        <f t="shared" si="8"/>
        <v>0</v>
      </c>
      <c r="P58" s="2597">
        <f t="shared" si="8"/>
        <v>0</v>
      </c>
      <c r="Q58" s="2597">
        <f t="shared" si="8"/>
        <v>0</v>
      </c>
      <c r="R58" s="2597">
        <f t="shared" si="8"/>
        <v>5</v>
      </c>
      <c r="S58" s="2597">
        <f t="shared" si="8"/>
        <v>1</v>
      </c>
      <c r="T58" s="2598">
        <f t="shared" si="8"/>
        <v>0</v>
      </c>
      <c r="U58" s="2597">
        <f t="shared" si="8"/>
        <v>1</v>
      </c>
      <c r="V58" s="2597">
        <f t="shared" si="8"/>
        <v>0</v>
      </c>
      <c r="W58" s="2597">
        <f t="shared" si="8"/>
        <v>1</v>
      </c>
      <c r="X58" s="2597">
        <f t="shared" si="8"/>
        <v>0</v>
      </c>
      <c r="Y58" s="2597">
        <f t="shared" si="8"/>
        <v>3</v>
      </c>
      <c r="Z58" s="2597">
        <f t="shared" si="8"/>
        <v>1</v>
      </c>
      <c r="AA58" s="2597">
        <f t="shared" si="8"/>
        <v>0</v>
      </c>
      <c r="AB58" s="2597">
        <f t="shared" si="8"/>
        <v>1</v>
      </c>
      <c r="AC58" s="2597">
        <f t="shared" si="8"/>
        <v>2</v>
      </c>
      <c r="AD58" s="2597">
        <f t="shared" si="8"/>
        <v>0</v>
      </c>
      <c r="AE58" s="2597">
        <f t="shared" si="8"/>
        <v>1</v>
      </c>
      <c r="AF58" s="2597">
        <f t="shared" si="8"/>
        <v>0</v>
      </c>
      <c r="AG58" s="2597">
        <f t="shared" si="8"/>
        <v>2</v>
      </c>
    </row>
    <row r="59" ht="18.75" customHeight="1">
      <c r="A59" s="44"/>
      <c r="B59" s="2601" t="s">
        <v>121</v>
      </c>
      <c r="C59" s="44"/>
      <c r="D59" s="2602">
        <f t="shared" ref="D59:I59" si="9">COUNTIF(D4:D53,"NG")</f>
        <v>1</v>
      </c>
      <c r="E59" s="2602">
        <f t="shared" si="9"/>
        <v>1</v>
      </c>
      <c r="F59" s="2602">
        <f t="shared" si="9"/>
        <v>1</v>
      </c>
      <c r="G59" s="2602">
        <f t="shared" si="9"/>
        <v>1</v>
      </c>
      <c r="H59" s="2602">
        <f t="shared" si="9"/>
        <v>4</v>
      </c>
      <c r="I59" s="2602">
        <f t="shared" si="9"/>
        <v>4</v>
      </c>
      <c r="J59" s="2602">
        <f t="shared" ref="J59:AG59" si="10">COUNTIF(J4:J54,"NG")</f>
        <v>11</v>
      </c>
      <c r="K59" s="2602">
        <f t="shared" si="10"/>
        <v>11</v>
      </c>
      <c r="L59" s="2602">
        <f t="shared" si="10"/>
        <v>5</v>
      </c>
      <c r="M59" s="2602">
        <f t="shared" si="10"/>
        <v>5</v>
      </c>
      <c r="N59" s="2602">
        <f t="shared" si="10"/>
        <v>5</v>
      </c>
      <c r="O59" s="2602">
        <f t="shared" si="10"/>
        <v>6</v>
      </c>
      <c r="P59" s="2602">
        <f t="shared" si="10"/>
        <v>2</v>
      </c>
      <c r="Q59" s="2602">
        <f t="shared" si="10"/>
        <v>2</v>
      </c>
      <c r="R59" s="2602">
        <f t="shared" si="10"/>
        <v>2</v>
      </c>
      <c r="S59" s="2602">
        <f t="shared" si="10"/>
        <v>1</v>
      </c>
      <c r="T59" s="2603">
        <f t="shared" si="10"/>
        <v>5</v>
      </c>
      <c r="U59" s="2602">
        <f t="shared" si="10"/>
        <v>5</v>
      </c>
      <c r="V59" s="2602">
        <f t="shared" si="10"/>
        <v>7</v>
      </c>
      <c r="W59" s="2602">
        <f t="shared" si="10"/>
        <v>7</v>
      </c>
      <c r="X59" s="2602">
        <f t="shared" si="10"/>
        <v>7</v>
      </c>
      <c r="Y59" s="2602">
        <f t="shared" si="10"/>
        <v>7</v>
      </c>
      <c r="Z59" s="2602">
        <f t="shared" si="10"/>
        <v>7</v>
      </c>
      <c r="AA59" s="2602">
        <f t="shared" si="10"/>
        <v>15</v>
      </c>
      <c r="AB59" s="2602">
        <f t="shared" si="10"/>
        <v>15</v>
      </c>
      <c r="AC59" s="2602">
        <f t="shared" si="10"/>
        <v>15</v>
      </c>
      <c r="AD59" s="2602">
        <f t="shared" si="10"/>
        <v>15</v>
      </c>
      <c r="AE59" s="2602">
        <f t="shared" si="10"/>
        <v>12</v>
      </c>
      <c r="AF59" s="2602">
        <f t="shared" si="10"/>
        <v>12</v>
      </c>
      <c r="AG59" s="2602">
        <f t="shared" si="10"/>
        <v>9</v>
      </c>
    </row>
    <row r="60" ht="18.75" customHeight="1">
      <c r="A60" s="44"/>
      <c r="B60" s="2606" t="s">
        <v>122</v>
      </c>
      <c r="C60" s="44"/>
      <c r="D60" s="2607">
        <f t="shared" ref="D60:AG60" si="11">SUM(D56:D59)</f>
        <v>35</v>
      </c>
      <c r="E60" s="2607">
        <f t="shared" si="11"/>
        <v>35</v>
      </c>
      <c r="F60" s="2607">
        <f t="shared" si="11"/>
        <v>35</v>
      </c>
      <c r="G60" s="2607">
        <f t="shared" si="11"/>
        <v>35</v>
      </c>
      <c r="H60" s="2607">
        <f t="shared" si="11"/>
        <v>35</v>
      </c>
      <c r="I60" s="2607">
        <f t="shared" si="11"/>
        <v>35</v>
      </c>
      <c r="J60" s="2607">
        <f t="shared" si="11"/>
        <v>35</v>
      </c>
      <c r="K60" s="2607">
        <f t="shared" si="11"/>
        <v>35</v>
      </c>
      <c r="L60" s="2607">
        <f t="shared" si="11"/>
        <v>35</v>
      </c>
      <c r="M60" s="2607">
        <f t="shared" si="11"/>
        <v>35</v>
      </c>
      <c r="N60" s="2607">
        <f t="shared" si="11"/>
        <v>35</v>
      </c>
      <c r="O60" s="2607">
        <f t="shared" si="11"/>
        <v>35</v>
      </c>
      <c r="P60" s="2607">
        <f t="shared" si="11"/>
        <v>35</v>
      </c>
      <c r="Q60" s="2607">
        <f t="shared" si="11"/>
        <v>35</v>
      </c>
      <c r="R60" s="2607">
        <f t="shared" si="11"/>
        <v>35</v>
      </c>
      <c r="S60" s="2607">
        <f t="shared" si="11"/>
        <v>35</v>
      </c>
      <c r="T60" s="2608">
        <f t="shared" si="11"/>
        <v>35</v>
      </c>
      <c r="U60" s="2607">
        <f t="shared" si="11"/>
        <v>35</v>
      </c>
      <c r="V60" s="2607">
        <f t="shared" si="11"/>
        <v>35</v>
      </c>
      <c r="W60" s="2607">
        <f t="shared" si="11"/>
        <v>35</v>
      </c>
      <c r="X60" s="2607">
        <f t="shared" si="11"/>
        <v>35</v>
      </c>
      <c r="Y60" s="2607">
        <f t="shared" si="11"/>
        <v>35</v>
      </c>
      <c r="Z60" s="2607">
        <f t="shared" si="11"/>
        <v>35</v>
      </c>
      <c r="AA60" s="2607">
        <f t="shared" si="11"/>
        <v>35</v>
      </c>
      <c r="AB60" s="2607">
        <f t="shared" si="11"/>
        <v>35</v>
      </c>
      <c r="AC60" s="2607">
        <f t="shared" si="11"/>
        <v>35</v>
      </c>
      <c r="AD60" s="2607">
        <f t="shared" si="11"/>
        <v>35</v>
      </c>
      <c r="AE60" s="2607">
        <f t="shared" si="11"/>
        <v>35</v>
      </c>
      <c r="AF60" s="2607">
        <f t="shared" si="11"/>
        <v>35</v>
      </c>
      <c r="AG60" s="2607">
        <f t="shared" si="11"/>
        <v>35</v>
      </c>
    </row>
    <row r="61" ht="18.75" customHeight="1">
      <c r="A61" s="44"/>
      <c r="B61" s="2611" t="s">
        <v>124</v>
      </c>
      <c r="C61" s="44"/>
      <c r="D61" s="2612">
        <f t="shared" ref="D61:AG61" si="12">D56+D57+D58</f>
        <v>34</v>
      </c>
      <c r="E61" s="2612">
        <f t="shared" si="12"/>
        <v>34</v>
      </c>
      <c r="F61" s="2612">
        <f t="shared" si="12"/>
        <v>34</v>
      </c>
      <c r="G61" s="2612">
        <f t="shared" si="12"/>
        <v>34</v>
      </c>
      <c r="H61" s="2612">
        <f t="shared" si="12"/>
        <v>31</v>
      </c>
      <c r="I61" s="2612">
        <f t="shared" si="12"/>
        <v>31</v>
      </c>
      <c r="J61" s="2612">
        <f t="shared" si="12"/>
        <v>24</v>
      </c>
      <c r="K61" s="2612">
        <f t="shared" si="12"/>
        <v>24</v>
      </c>
      <c r="L61" s="2612">
        <f t="shared" si="12"/>
        <v>30</v>
      </c>
      <c r="M61" s="2612">
        <f t="shared" si="12"/>
        <v>30</v>
      </c>
      <c r="N61" s="2612">
        <f t="shared" si="12"/>
        <v>30</v>
      </c>
      <c r="O61" s="2612">
        <f t="shared" si="12"/>
        <v>29</v>
      </c>
      <c r="P61" s="2612">
        <f t="shared" si="12"/>
        <v>33</v>
      </c>
      <c r="Q61" s="2612">
        <f t="shared" si="12"/>
        <v>33</v>
      </c>
      <c r="R61" s="2612">
        <f t="shared" si="12"/>
        <v>33</v>
      </c>
      <c r="S61" s="2612">
        <f t="shared" si="12"/>
        <v>34</v>
      </c>
      <c r="T61" s="2613">
        <f t="shared" si="12"/>
        <v>30</v>
      </c>
      <c r="U61" s="2612">
        <f t="shared" si="12"/>
        <v>30</v>
      </c>
      <c r="V61" s="2612">
        <f t="shared" si="12"/>
        <v>28</v>
      </c>
      <c r="W61" s="2612">
        <f t="shared" si="12"/>
        <v>28</v>
      </c>
      <c r="X61" s="2612">
        <f t="shared" si="12"/>
        <v>28</v>
      </c>
      <c r="Y61" s="2612">
        <f t="shared" si="12"/>
        <v>28</v>
      </c>
      <c r="Z61" s="2612">
        <f t="shared" si="12"/>
        <v>28</v>
      </c>
      <c r="AA61" s="2612">
        <f t="shared" si="12"/>
        <v>20</v>
      </c>
      <c r="AB61" s="2612">
        <f t="shared" si="12"/>
        <v>20</v>
      </c>
      <c r="AC61" s="2612">
        <f t="shared" si="12"/>
        <v>20</v>
      </c>
      <c r="AD61" s="2612">
        <f t="shared" si="12"/>
        <v>20</v>
      </c>
      <c r="AE61" s="2612">
        <f t="shared" si="12"/>
        <v>23</v>
      </c>
      <c r="AF61" s="2612">
        <f t="shared" si="12"/>
        <v>23</v>
      </c>
      <c r="AG61" s="2612">
        <f t="shared" si="12"/>
        <v>26</v>
      </c>
    </row>
    <row r="62" ht="18.75" customHeight="1">
      <c r="A62" s="228"/>
      <c r="B62" s="2616" t="s">
        <v>125</v>
      </c>
      <c r="C62" s="228"/>
      <c r="D62" s="2617">
        <f t="shared" ref="D62:S62" si="13">IFERROR(D61/D60,"")</f>
        <v>0.9714285714</v>
      </c>
      <c r="E62" s="2617">
        <f t="shared" si="13"/>
        <v>0.9714285714</v>
      </c>
      <c r="F62" s="2617">
        <f t="shared" si="13"/>
        <v>0.9714285714</v>
      </c>
      <c r="G62" s="2617">
        <f t="shared" si="13"/>
        <v>0.9714285714</v>
      </c>
      <c r="H62" s="2617">
        <f t="shared" si="13"/>
        <v>0.8857142857</v>
      </c>
      <c r="I62" s="2617">
        <f t="shared" si="13"/>
        <v>0.8857142857</v>
      </c>
      <c r="J62" s="2617">
        <f t="shared" si="13"/>
        <v>0.6857142857</v>
      </c>
      <c r="K62" s="2617">
        <f t="shared" si="13"/>
        <v>0.6857142857</v>
      </c>
      <c r="L62" s="2617">
        <f t="shared" si="13"/>
        <v>0.8571428571</v>
      </c>
      <c r="M62" s="2617">
        <f t="shared" si="13"/>
        <v>0.8571428571</v>
      </c>
      <c r="N62" s="2617">
        <f t="shared" si="13"/>
        <v>0.8571428571</v>
      </c>
      <c r="O62" s="2617">
        <f t="shared" si="13"/>
        <v>0.8285714286</v>
      </c>
      <c r="P62" s="2617">
        <f t="shared" si="13"/>
        <v>0.9428571429</v>
      </c>
      <c r="Q62" s="2617">
        <f t="shared" si="13"/>
        <v>0.9428571429</v>
      </c>
      <c r="R62" s="2617">
        <f t="shared" si="13"/>
        <v>0.9428571429</v>
      </c>
      <c r="S62" s="2617">
        <f t="shared" si="13"/>
        <v>0.9714285714</v>
      </c>
      <c r="T62" s="2618">
        <f t="shared" ref="T62:AG62" si="14">IFERROR(IF(GT(T61/T60, 0), T61/T60, ""),"")</f>
        <v>0.8571428571</v>
      </c>
      <c r="U62" s="2618">
        <f t="shared" si="14"/>
        <v>0.8571428571</v>
      </c>
      <c r="V62" s="2618">
        <f t="shared" si="14"/>
        <v>0.8</v>
      </c>
      <c r="W62" s="2618">
        <f t="shared" si="14"/>
        <v>0.8</v>
      </c>
      <c r="X62" s="2618">
        <f t="shared" si="14"/>
        <v>0.8</v>
      </c>
      <c r="Y62" s="2618">
        <f t="shared" si="14"/>
        <v>0.8</v>
      </c>
      <c r="Z62" s="2618">
        <f t="shared" si="14"/>
        <v>0.8</v>
      </c>
      <c r="AA62" s="2618">
        <f t="shared" si="14"/>
        <v>0.5714285714</v>
      </c>
      <c r="AB62" s="2618">
        <f t="shared" si="14"/>
        <v>0.5714285714</v>
      </c>
      <c r="AC62" s="2618">
        <f t="shared" si="14"/>
        <v>0.5714285714</v>
      </c>
      <c r="AD62" s="2618">
        <f t="shared" si="14"/>
        <v>0.5714285714</v>
      </c>
      <c r="AE62" s="2618">
        <f t="shared" si="14"/>
        <v>0.6571428571</v>
      </c>
      <c r="AF62" s="2618">
        <f t="shared" si="14"/>
        <v>0.6571428571</v>
      </c>
      <c r="AG62" s="2618">
        <f t="shared" si="14"/>
        <v>0.7428571429</v>
      </c>
    </row>
  </sheetData>
  <mergeCells count="23">
    <mergeCell ref="A2:C2"/>
    <mergeCell ref="D2:AG4"/>
    <mergeCell ref="A3:C4"/>
    <mergeCell ref="B7:B13"/>
    <mergeCell ref="B14:B18"/>
    <mergeCell ref="B19:B24"/>
    <mergeCell ref="B25:B30"/>
    <mergeCell ref="A32:A54"/>
    <mergeCell ref="A56:A62"/>
    <mergeCell ref="B56:C56"/>
    <mergeCell ref="B57:C57"/>
    <mergeCell ref="B58:C58"/>
    <mergeCell ref="B59:C59"/>
    <mergeCell ref="B60:C60"/>
    <mergeCell ref="B61:C61"/>
    <mergeCell ref="B62:C62"/>
    <mergeCell ref="A7:A30"/>
    <mergeCell ref="B32:B37"/>
    <mergeCell ref="B38:B41"/>
    <mergeCell ref="B42:B44"/>
    <mergeCell ref="B45:B49"/>
    <mergeCell ref="B50:B51"/>
    <mergeCell ref="B53:B54"/>
  </mergeCells>
  <conditionalFormatting sqref="D7:AG54">
    <cfRule type="containsText" dxfId="2" priority="1" operator="containsText" text="SO">
      <formula>NOT(ISERROR(SEARCH(("SO"),(D7))))</formula>
    </cfRule>
  </conditionalFormatting>
  <conditionalFormatting sqref="D7:AG54">
    <cfRule type="containsText" dxfId="1" priority="2" operator="containsText" text="tegen">
      <formula>NOT(ISERROR(SEARCH(("tegen"),(D7))))</formula>
    </cfRule>
  </conditionalFormatting>
  <conditionalFormatting sqref="D7:AG54">
    <cfRule type="containsText" dxfId="4" priority="3" operator="containsText" text="voor">
      <formula>NOT(ISERROR(SEARCH(("voor"),(D7))))</formula>
    </cfRule>
  </conditionalFormatting>
  <conditionalFormatting sqref="D7:AG54">
    <cfRule type="containsText" dxfId="5" priority="4" operator="containsText" text="NG">
      <formula>NOT(ISERROR(SEARCH(("NG"),(D7))))</formula>
    </cfRule>
  </conditionalFormatting>
  <conditionalFormatting sqref="D7:AG54">
    <cfRule type="containsText" dxfId="6" priority="5" operator="containsText" text="NVT">
      <formula>NOT(ISERROR(SEARCH(("NVT"),(D7))))</formula>
    </cfRule>
  </conditionalFormatting>
  <drawing r:id="rId2"/>
  <legacyDrawing r:id="rId3"/>
</worksheet>
</file>

<file path=xl/worksheets/sheet3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CC4125"/>
    <outlinePr summaryBelow="0" summaryRight="0"/>
  </sheetPr>
  <sheetViews>
    <sheetView workbookViewId="0">
      <pane xSplit="3.0" topLeftCell="D1" activePane="topRight" state="frozen"/>
      <selection activeCell="E2" sqref="E2" pane="topRight"/>
    </sheetView>
  </sheetViews>
  <sheetFormatPr customHeight="1" defaultColWidth="14.43" defaultRowHeight="15.75"/>
  <cols>
    <col customWidth="1" min="1" max="1" width="10.86"/>
    <col customWidth="1" min="2" max="2" width="11.0"/>
    <col customWidth="1" min="3" max="3" width="21.86"/>
  </cols>
  <sheetData>
    <row r="1" ht="18.75" customHeight="1">
      <c r="A1" s="1438"/>
      <c r="B1" s="1438"/>
      <c r="C1" s="1438"/>
      <c r="D1" s="1438"/>
      <c r="E1" s="1438"/>
      <c r="F1" s="1438"/>
      <c r="G1" s="1438"/>
      <c r="H1" s="1438"/>
      <c r="I1" s="1438"/>
      <c r="J1" s="1438"/>
      <c r="K1" s="1438"/>
      <c r="L1" s="1438"/>
      <c r="M1" s="1438"/>
      <c r="N1" s="1438"/>
      <c r="O1" s="1438"/>
      <c r="P1" s="1438"/>
      <c r="Q1" s="1438"/>
      <c r="R1" s="1438"/>
      <c r="S1" s="1438"/>
      <c r="T1" s="1438"/>
      <c r="U1" s="1438"/>
      <c r="V1" s="1438"/>
      <c r="W1" s="1438"/>
      <c r="X1" s="1438"/>
      <c r="Y1" s="1438"/>
      <c r="Z1" s="1438"/>
      <c r="AA1" s="1438"/>
      <c r="AB1" s="1438"/>
    </row>
    <row r="2" ht="18.75" customHeight="1">
      <c r="A2" s="2622"/>
      <c r="B2" s="2357"/>
      <c r="C2" s="2358"/>
      <c r="D2" s="2756" t="s">
        <v>1818</v>
      </c>
      <c r="E2" s="16"/>
      <c r="F2" s="16"/>
      <c r="G2" s="16"/>
      <c r="H2" s="16"/>
      <c r="I2" s="16"/>
      <c r="J2" s="16"/>
      <c r="K2" s="16"/>
      <c r="L2" s="16"/>
      <c r="M2" s="16"/>
      <c r="N2" s="17"/>
      <c r="O2" s="1438"/>
      <c r="P2" s="1438"/>
      <c r="Q2" s="1438"/>
      <c r="R2" s="1438"/>
      <c r="S2" s="1438"/>
      <c r="T2" s="1438"/>
      <c r="U2" s="1438"/>
      <c r="V2" s="1438"/>
      <c r="W2" s="1438"/>
      <c r="X2" s="1438"/>
      <c r="Y2" s="1438"/>
      <c r="Z2" s="1438"/>
      <c r="AA2" s="1438"/>
      <c r="AB2" s="1438"/>
    </row>
    <row r="3" ht="18.75" customHeight="1">
      <c r="A3" s="1438"/>
      <c r="B3" s="1438"/>
      <c r="C3" s="1438"/>
      <c r="D3" s="2624"/>
      <c r="E3" s="2624"/>
      <c r="F3" s="2624"/>
      <c r="G3" s="2624"/>
      <c r="H3" s="2624"/>
      <c r="I3" s="2624"/>
      <c r="J3" s="2624"/>
      <c r="K3" s="1438"/>
      <c r="L3" s="1438"/>
      <c r="M3" s="1438"/>
      <c r="N3" s="1438"/>
      <c r="O3" s="1438"/>
      <c r="P3" s="1438"/>
      <c r="Q3" s="1438"/>
      <c r="R3" s="1438"/>
      <c r="S3" s="1438"/>
      <c r="T3" s="1438"/>
      <c r="U3" s="1438"/>
      <c r="V3" s="1438"/>
      <c r="W3" s="1438"/>
      <c r="X3" s="1438"/>
      <c r="Y3" s="1438"/>
      <c r="Z3" s="1438"/>
      <c r="AA3" s="1438"/>
      <c r="AB3" s="1438"/>
    </row>
    <row r="4" ht="18.75" customHeight="1">
      <c r="A4" s="2622" t="s">
        <v>1029</v>
      </c>
      <c r="B4" s="2357"/>
      <c r="C4" s="2358"/>
      <c r="D4" s="2757" t="s">
        <v>1818</v>
      </c>
      <c r="E4" s="124"/>
      <c r="F4" s="124"/>
      <c r="G4" s="124"/>
      <c r="H4" s="124"/>
      <c r="I4" s="124"/>
      <c r="J4" s="124"/>
      <c r="K4" s="2362"/>
      <c r="L4" s="1438"/>
      <c r="M4" s="1438"/>
      <c r="N4" s="1438"/>
      <c r="O4" s="1438"/>
      <c r="P4" s="1438"/>
      <c r="Q4" s="1438"/>
      <c r="R4" s="1438"/>
      <c r="S4" s="1438"/>
      <c r="T4" s="1438"/>
      <c r="U4" s="1438"/>
      <c r="V4" s="1438"/>
      <c r="W4" s="1438"/>
      <c r="X4" s="1438"/>
      <c r="Y4" s="1438"/>
      <c r="Z4" s="1438"/>
      <c r="AA4" s="1438"/>
      <c r="AB4" s="1438"/>
    </row>
    <row r="5" ht="18.75" customHeight="1">
      <c r="A5" s="2858" t="s">
        <v>1959</v>
      </c>
      <c r="C5" s="135"/>
      <c r="D5" s="43"/>
      <c r="K5" s="885"/>
      <c r="L5" s="1438"/>
      <c r="M5" s="1438"/>
      <c r="N5" s="1438"/>
      <c r="O5" s="1438"/>
      <c r="P5" s="1438"/>
      <c r="Q5" s="1438"/>
      <c r="R5" s="1438"/>
      <c r="S5" s="1438"/>
      <c r="T5" s="1438"/>
      <c r="U5" s="1438"/>
      <c r="V5" s="1438"/>
      <c r="W5" s="1438"/>
      <c r="X5" s="1438"/>
      <c r="Y5" s="1438"/>
      <c r="Z5" s="1438"/>
      <c r="AA5" s="1438"/>
      <c r="AB5" s="1438"/>
    </row>
    <row r="6" ht="18.75" customHeight="1">
      <c r="C6" s="135"/>
      <c r="D6" s="2363"/>
      <c r="E6" s="1396"/>
      <c r="F6" s="1396"/>
      <c r="G6" s="1396"/>
      <c r="H6" s="1396"/>
      <c r="I6" s="1396"/>
      <c r="J6" s="1396"/>
      <c r="K6" s="1397"/>
      <c r="L6" s="1438"/>
      <c r="M6" s="1438"/>
      <c r="N6" s="1438"/>
      <c r="O6" s="1438"/>
      <c r="P6" s="1438"/>
      <c r="Q6" s="1438"/>
      <c r="R6" s="1438"/>
      <c r="S6" s="1438"/>
      <c r="T6" s="1438"/>
      <c r="U6" s="1438"/>
      <c r="V6" s="1438"/>
      <c r="W6" s="1438"/>
      <c r="X6" s="1438"/>
      <c r="Y6" s="1438"/>
      <c r="Z6" s="1438"/>
      <c r="AA6" s="1438"/>
      <c r="AB6" s="1438"/>
    </row>
    <row r="7" ht="18.75" customHeight="1">
      <c r="A7" s="2626" t="s">
        <v>86</v>
      </c>
      <c r="B7" s="2627" t="s">
        <v>87</v>
      </c>
      <c r="C7" s="2628" t="s">
        <v>88</v>
      </c>
      <c r="D7" s="2758" t="str">
        <f>HYPERLINK("https://www.reddit.com/r/RMTK/comments/9uriq3", "W0001")</f>
        <v>W0001</v>
      </c>
      <c r="E7" s="2758" t="str">
        <f>HYPERLINK("https://www.reddit.com/r/RMTK/comments/9uriq3", "W0002")</f>
        <v>W0002</v>
      </c>
      <c r="F7" s="2758" t="str">
        <f>HYPERLINK("https://www.reddit.com/r/RMTK/comments/a0wpec/", "W0003")</f>
        <v>W0003</v>
      </c>
      <c r="G7" s="2758" t="str">
        <f>HYPERLINK("https://reddit.com/r/RMTK/comments/a7lfim", "W0004")</f>
        <v>W0004</v>
      </c>
      <c r="H7" s="2758" t="str">
        <f t="shared" ref="H7:I7" si="1">HYPERLINK("https://reddit.com/r/RMTK/comments/abwerm", "W0006")</f>
        <v>W0006</v>
      </c>
      <c r="I7" s="2904" t="str">
        <f t="shared" si="1"/>
        <v>W0006</v>
      </c>
      <c r="J7" s="2758" t="str">
        <f>HYPERLINK("https://reddit.com/r/RMTK/comments/aehqrq", "W0008")</f>
        <v>W0008</v>
      </c>
      <c r="K7" s="2904" t="str">
        <f>HYPERLINK("https://reddit.com/r/RMTK/comments/aiejgc", "TE0001")</f>
        <v>TE0001</v>
      </c>
      <c r="L7" s="1438"/>
      <c r="M7" s="1438"/>
      <c r="N7" s="1438"/>
      <c r="O7" s="1438"/>
      <c r="P7" s="1438"/>
      <c r="Q7" s="1438"/>
      <c r="R7" s="1438"/>
      <c r="S7" s="1438"/>
      <c r="T7" s="1438"/>
      <c r="U7" s="1438"/>
      <c r="V7" s="1438"/>
      <c r="W7" s="1438"/>
      <c r="X7" s="1438"/>
      <c r="Y7" s="1438"/>
      <c r="Z7" s="1438"/>
      <c r="AA7" s="1438"/>
      <c r="AB7" s="1438"/>
    </row>
    <row r="8" ht="6.0" customHeight="1">
      <c r="A8" s="2513"/>
      <c r="B8" s="2514"/>
      <c r="C8" s="2514"/>
      <c r="D8" s="2630"/>
      <c r="E8" s="2631"/>
      <c r="F8" s="2631"/>
      <c r="G8" s="2631"/>
      <c r="H8" s="2631"/>
      <c r="I8" s="2905"/>
      <c r="J8" s="2631"/>
      <c r="K8" s="2905"/>
      <c r="L8" s="1438"/>
      <c r="M8" s="1438"/>
      <c r="N8" s="1438"/>
      <c r="O8" s="1438"/>
      <c r="P8" s="1438"/>
      <c r="Q8" s="1438"/>
      <c r="R8" s="1438"/>
      <c r="S8" s="1438"/>
      <c r="T8" s="1438"/>
      <c r="U8" s="1438"/>
      <c r="V8" s="1438"/>
      <c r="W8" s="1438"/>
      <c r="X8" s="1438"/>
      <c r="Y8" s="1438"/>
      <c r="Z8" s="1438"/>
      <c r="AA8" s="1438"/>
      <c r="AB8" s="1438"/>
    </row>
    <row r="9" ht="18.75" customHeight="1">
      <c r="A9" s="2519" t="s">
        <v>1956</v>
      </c>
      <c r="B9" s="2837" t="s">
        <v>1287</v>
      </c>
      <c r="C9" s="2838" t="s">
        <v>1386</v>
      </c>
      <c r="D9" s="2906" t="s">
        <v>1702</v>
      </c>
      <c r="E9" s="2907" t="s">
        <v>1702</v>
      </c>
      <c r="F9" s="2906" t="s">
        <v>1702</v>
      </c>
      <c r="G9" s="2908" t="s">
        <v>92</v>
      </c>
      <c r="H9" s="2907" t="s">
        <v>93</v>
      </c>
      <c r="I9" s="2909" t="s">
        <v>91</v>
      </c>
      <c r="J9" s="2910" t="s">
        <v>91</v>
      </c>
      <c r="K9" s="2764" t="s">
        <v>93</v>
      </c>
      <c r="L9" s="1438"/>
      <c r="M9" s="1438"/>
      <c r="N9" s="1438"/>
      <c r="O9" s="1438"/>
      <c r="P9" s="1438"/>
      <c r="Q9" s="1438"/>
      <c r="R9" s="1438"/>
      <c r="S9" s="1438"/>
      <c r="T9" s="1438"/>
      <c r="U9" s="1438"/>
      <c r="V9" s="1438"/>
      <c r="W9" s="1438"/>
      <c r="X9" s="1438"/>
      <c r="Y9" s="1438"/>
      <c r="Z9" s="1438"/>
      <c r="AA9" s="1438"/>
      <c r="AB9" s="1438"/>
    </row>
    <row r="10" ht="18.75" customHeight="1">
      <c r="A10" s="158"/>
      <c r="B10" s="2839" t="s">
        <v>1289</v>
      </c>
      <c r="C10" s="2840" t="s">
        <v>1957</v>
      </c>
      <c r="D10" s="2911" t="s">
        <v>1702</v>
      </c>
      <c r="E10" s="2912" t="s">
        <v>1702</v>
      </c>
      <c r="F10" s="2911" t="s">
        <v>1702</v>
      </c>
      <c r="G10" s="2913" t="s">
        <v>92</v>
      </c>
      <c r="H10" s="2912" t="s">
        <v>91</v>
      </c>
      <c r="I10" s="2909" t="s">
        <v>91</v>
      </c>
      <c r="J10" s="2635" t="s">
        <v>91</v>
      </c>
      <c r="K10" s="2764" t="s">
        <v>92</v>
      </c>
      <c r="L10" s="1438"/>
      <c r="M10" s="1438"/>
      <c r="N10" s="1438"/>
      <c r="O10" s="1438"/>
      <c r="P10" s="1438"/>
      <c r="Q10" s="1438"/>
      <c r="R10" s="1438"/>
      <c r="S10" s="1438"/>
      <c r="T10" s="1438"/>
      <c r="U10" s="1438"/>
      <c r="V10" s="1438"/>
      <c r="W10" s="1438"/>
      <c r="X10" s="1438"/>
      <c r="Y10" s="1438"/>
      <c r="Z10" s="1438"/>
      <c r="AA10" s="1438"/>
      <c r="AB10" s="1438"/>
    </row>
    <row r="11" ht="18.75" customHeight="1">
      <c r="A11" s="158"/>
      <c r="B11" s="2914" t="s">
        <v>31</v>
      </c>
      <c r="C11" s="2847" t="s">
        <v>1340</v>
      </c>
      <c r="D11" s="2911" t="s">
        <v>1702</v>
      </c>
      <c r="E11" s="2912" t="s">
        <v>1702</v>
      </c>
      <c r="F11" s="2911" t="s">
        <v>1702</v>
      </c>
      <c r="G11" s="2913" t="s">
        <v>1703</v>
      </c>
      <c r="H11" s="2912" t="s">
        <v>93</v>
      </c>
      <c r="I11" s="2909" t="s">
        <v>91</v>
      </c>
      <c r="J11" s="2635" t="s">
        <v>91</v>
      </c>
      <c r="K11" s="2764" t="s">
        <v>91</v>
      </c>
      <c r="L11" s="1438"/>
      <c r="M11" s="1438"/>
      <c r="N11" s="1438"/>
      <c r="O11" s="1438"/>
      <c r="P11" s="1438"/>
      <c r="Q11" s="1438"/>
      <c r="R11" s="1438"/>
      <c r="S11" s="1438"/>
      <c r="T11" s="1438"/>
      <c r="U11" s="1438"/>
      <c r="V11" s="1438"/>
      <c r="W11" s="1438"/>
      <c r="X11" s="1438"/>
      <c r="Y11" s="1438"/>
      <c r="Z11" s="1438"/>
      <c r="AA11" s="1438"/>
      <c r="AB11" s="1438"/>
    </row>
    <row r="12" ht="18.75" customHeight="1">
      <c r="A12" s="168"/>
      <c r="B12" s="2915" t="s">
        <v>175</v>
      </c>
      <c r="C12" s="2916" t="s">
        <v>1387</v>
      </c>
      <c r="D12" s="2911" t="s">
        <v>1702</v>
      </c>
      <c r="E12" s="2912" t="s">
        <v>93</v>
      </c>
      <c r="F12" s="2911" t="s">
        <v>93</v>
      </c>
      <c r="G12" s="2913" t="s">
        <v>93</v>
      </c>
      <c r="H12" s="2912" t="s">
        <v>93</v>
      </c>
      <c r="I12" s="2909" t="s">
        <v>93</v>
      </c>
      <c r="J12" s="2635" t="s">
        <v>93</v>
      </c>
      <c r="K12" s="2764" t="s">
        <v>93</v>
      </c>
      <c r="L12" s="1438"/>
      <c r="M12" s="1438"/>
      <c r="N12" s="1438"/>
      <c r="O12" s="1438"/>
      <c r="P12" s="1438"/>
      <c r="Q12" s="1438"/>
      <c r="R12" s="1438"/>
      <c r="S12" s="1438"/>
      <c r="T12" s="1438"/>
      <c r="U12" s="1438"/>
      <c r="V12" s="1438"/>
      <c r="W12" s="1438"/>
      <c r="X12" s="1438"/>
      <c r="Y12" s="1438"/>
      <c r="Z12" s="1438"/>
      <c r="AA12" s="1438"/>
      <c r="AB12" s="1438"/>
    </row>
    <row r="13" ht="6.0" customHeight="1">
      <c r="A13" s="2768"/>
      <c r="B13" s="2780"/>
      <c r="C13" s="2780"/>
      <c r="D13" s="2917" t="str">
        <f t="shared" ref="D13:K13" si="2">LINKURL(D7)</f>
        <v>https://www.reddit.com/r/RMTK/comments/9uriq3</v>
      </c>
      <c r="E13" s="2918" t="str">
        <f t="shared" si="2"/>
        <v>https://www.reddit.com/r/RMTK/comments/9uriq3</v>
      </c>
      <c r="F13" s="2917" t="str">
        <f t="shared" si="2"/>
        <v>https://www.reddit.com/r/RMTK/comments/a0wpec/</v>
      </c>
      <c r="G13" s="2919" t="str">
        <f t="shared" si="2"/>
        <v>https://reddit.com/r/RMTK/comments/a7lfim</v>
      </c>
      <c r="H13" s="2918" t="str">
        <f t="shared" si="2"/>
        <v>https://reddit.com/r/RMTK/comments/abwerm</v>
      </c>
      <c r="I13" s="2920" t="str">
        <f t="shared" si="2"/>
        <v>https://reddit.com/r/RMTK/comments/abwerm</v>
      </c>
      <c r="J13" s="2921" t="str">
        <f t="shared" si="2"/>
        <v>https://reddit.com/r/RMTK/comments/aehqrq</v>
      </c>
      <c r="K13" s="2918" t="str">
        <f t="shared" si="2"/>
        <v>https://reddit.com/r/RMTK/comments/aiejgc</v>
      </c>
      <c r="L13" s="1438"/>
      <c r="M13" s="1438"/>
      <c r="N13" s="1438"/>
      <c r="O13" s="1438"/>
      <c r="P13" s="1438"/>
      <c r="Q13" s="1438"/>
      <c r="R13" s="1438"/>
      <c r="S13" s="1438"/>
      <c r="T13" s="1438"/>
      <c r="U13" s="1438"/>
      <c r="V13" s="1438"/>
      <c r="W13" s="1438"/>
      <c r="X13" s="1438"/>
      <c r="Y13" s="1438"/>
      <c r="Z13" s="1438"/>
      <c r="AA13" s="1438"/>
      <c r="AB13" s="1438"/>
    </row>
    <row r="14" ht="18.75" customHeight="1">
      <c r="A14" s="2519" t="s">
        <v>1964</v>
      </c>
      <c r="B14" s="2922" t="s">
        <v>161</v>
      </c>
      <c r="C14" s="2923" t="s">
        <v>1166</v>
      </c>
      <c r="D14" s="2911" t="s">
        <v>1703</v>
      </c>
      <c r="E14" s="2912" t="s">
        <v>1702</v>
      </c>
      <c r="F14" s="2924" t="s">
        <v>1702</v>
      </c>
      <c r="G14" s="2913" t="s">
        <v>91</v>
      </c>
      <c r="H14" s="2912" t="s">
        <v>91</v>
      </c>
      <c r="I14" s="2909" t="s">
        <v>91</v>
      </c>
      <c r="J14" s="2925" t="s">
        <v>91</v>
      </c>
      <c r="K14" s="2764" t="s">
        <v>92</v>
      </c>
      <c r="L14" s="1438"/>
      <c r="M14" s="1438"/>
      <c r="N14" s="1438"/>
      <c r="O14" s="1438"/>
      <c r="P14" s="1438"/>
      <c r="Q14" s="1438"/>
      <c r="R14" s="1438"/>
      <c r="S14" s="1438"/>
      <c r="T14" s="1438"/>
      <c r="U14" s="1438"/>
      <c r="V14" s="1438"/>
      <c r="W14" s="1438"/>
      <c r="X14" s="1438"/>
      <c r="Y14" s="1438"/>
      <c r="Z14" s="1438"/>
      <c r="AA14" s="1438"/>
      <c r="AB14" s="1438"/>
    </row>
    <row r="15" ht="18.75" customHeight="1">
      <c r="A15" s="158"/>
      <c r="B15" s="2848" t="s">
        <v>169</v>
      </c>
      <c r="C15" s="2926" t="s">
        <v>101</v>
      </c>
      <c r="D15" s="2911" t="s">
        <v>1702</v>
      </c>
      <c r="E15" s="2912" t="s">
        <v>1703</v>
      </c>
      <c r="F15" s="2927" t="s">
        <v>117</v>
      </c>
      <c r="G15" s="2913" t="s">
        <v>92</v>
      </c>
      <c r="H15" s="2912" t="s">
        <v>92</v>
      </c>
      <c r="I15" s="2909" t="s">
        <v>92</v>
      </c>
      <c r="J15" s="2927" t="s">
        <v>117</v>
      </c>
      <c r="K15" s="2764" t="s">
        <v>91</v>
      </c>
      <c r="L15" s="1438"/>
      <c r="M15" s="1438"/>
      <c r="N15" s="1438"/>
      <c r="O15" s="1438"/>
      <c r="P15" s="1438"/>
      <c r="Q15" s="1438"/>
      <c r="R15" s="1438"/>
      <c r="S15" s="1438"/>
      <c r="T15" s="1438"/>
      <c r="U15" s="1438"/>
      <c r="V15" s="1438"/>
      <c r="W15" s="1438"/>
      <c r="X15" s="1438"/>
      <c r="Y15" s="1438"/>
      <c r="Z15" s="1438"/>
      <c r="AA15" s="1438"/>
      <c r="AB15" s="1438"/>
    </row>
    <row r="16" ht="18.75" customHeight="1">
      <c r="A16" s="158"/>
      <c r="B16" s="2851" t="s">
        <v>228</v>
      </c>
      <c r="C16" s="2852" t="s">
        <v>674</v>
      </c>
      <c r="D16" s="2924" t="s">
        <v>1703</v>
      </c>
      <c r="E16" s="2912" t="s">
        <v>1703</v>
      </c>
      <c r="F16" s="2924" t="s">
        <v>93</v>
      </c>
      <c r="G16" s="2913" t="s">
        <v>92</v>
      </c>
      <c r="H16" s="2912" t="s">
        <v>92</v>
      </c>
      <c r="I16" s="2909" t="s">
        <v>92</v>
      </c>
      <c r="J16" s="2635" t="s">
        <v>92</v>
      </c>
      <c r="K16" s="2764" t="s">
        <v>91</v>
      </c>
      <c r="L16" s="1438"/>
      <c r="M16" s="1438"/>
      <c r="N16" s="1438"/>
      <c r="O16" s="1438"/>
      <c r="P16" s="1438"/>
      <c r="Q16" s="1438"/>
      <c r="R16" s="1438"/>
      <c r="S16" s="1438"/>
      <c r="T16" s="1438"/>
      <c r="U16" s="1438"/>
      <c r="V16" s="1438"/>
      <c r="W16" s="1438"/>
      <c r="X16" s="1438"/>
      <c r="Y16" s="1438"/>
      <c r="Z16" s="1438"/>
      <c r="AA16" s="1438"/>
      <c r="AB16" s="1438"/>
    </row>
    <row r="17" ht="18.75" customHeight="1">
      <c r="A17" s="158"/>
      <c r="B17" s="2853" t="s">
        <v>234</v>
      </c>
      <c r="C17" s="2854" t="s">
        <v>1173</v>
      </c>
      <c r="D17" s="2911" t="s">
        <v>1702</v>
      </c>
      <c r="E17" s="2912" t="s">
        <v>1703</v>
      </c>
      <c r="F17" s="2924" t="s">
        <v>1702</v>
      </c>
      <c r="G17" s="2913" t="s">
        <v>93</v>
      </c>
      <c r="H17" s="2912" t="s">
        <v>93</v>
      </c>
      <c r="I17" s="2909" t="s">
        <v>93</v>
      </c>
      <c r="J17" s="2635" t="s">
        <v>93</v>
      </c>
      <c r="K17" s="2764" t="s">
        <v>93</v>
      </c>
      <c r="L17" s="1438"/>
      <c r="M17" s="1438"/>
      <c r="N17" s="1438"/>
      <c r="O17" s="1438"/>
      <c r="P17" s="1438"/>
      <c r="Q17" s="1438"/>
      <c r="R17" s="1438"/>
      <c r="S17" s="1438"/>
      <c r="T17" s="1438"/>
      <c r="U17" s="1438"/>
      <c r="V17" s="1438"/>
      <c r="W17" s="1438"/>
      <c r="X17" s="1438"/>
      <c r="Y17" s="1438"/>
      <c r="Z17" s="1438"/>
      <c r="AA17" s="1438"/>
      <c r="AB17" s="1438"/>
    </row>
    <row r="18" ht="18.75" customHeight="1">
      <c r="A18" s="158"/>
      <c r="B18" s="2855" t="s">
        <v>1303</v>
      </c>
      <c r="C18" s="2856" t="s">
        <v>1382</v>
      </c>
      <c r="D18" s="2911" t="s">
        <v>93</v>
      </c>
      <c r="E18" s="2912" t="s">
        <v>93</v>
      </c>
      <c r="F18" s="2924" t="s">
        <v>93</v>
      </c>
      <c r="G18" s="2913" t="s">
        <v>93</v>
      </c>
      <c r="H18" s="2912" t="s">
        <v>93</v>
      </c>
      <c r="I18" s="2909" t="s">
        <v>91</v>
      </c>
      <c r="J18" s="2635" t="s">
        <v>92</v>
      </c>
      <c r="K18" s="2764" t="s">
        <v>92</v>
      </c>
      <c r="L18" s="1438"/>
      <c r="M18" s="1438"/>
      <c r="N18" s="1438"/>
      <c r="O18" s="1438"/>
      <c r="P18" s="1438"/>
      <c r="Q18" s="1438"/>
      <c r="R18" s="1438"/>
      <c r="S18" s="1438"/>
      <c r="T18" s="1438"/>
      <c r="U18" s="1438"/>
      <c r="V18" s="1438"/>
      <c r="W18" s="1438"/>
      <c r="X18" s="1438"/>
      <c r="Y18" s="1438"/>
      <c r="Z18" s="1438"/>
      <c r="AA18" s="1438"/>
      <c r="AB18" s="1438"/>
    </row>
    <row r="19" ht="18.75" customHeight="1">
      <c r="A19" s="158"/>
      <c r="B19" s="2928" t="s">
        <v>200</v>
      </c>
      <c r="C19" s="2929" t="s">
        <v>1965</v>
      </c>
      <c r="D19" s="2911" t="s">
        <v>1703</v>
      </c>
      <c r="E19" s="2912" t="s">
        <v>93</v>
      </c>
      <c r="F19" s="2927" t="s">
        <v>117</v>
      </c>
      <c r="G19" s="2913" t="s">
        <v>93</v>
      </c>
      <c r="H19" s="2912" t="s">
        <v>93</v>
      </c>
      <c r="I19" s="2694" t="s">
        <v>118</v>
      </c>
      <c r="J19" s="2523" t="s">
        <v>118</v>
      </c>
      <c r="K19" s="2522" t="s">
        <v>118</v>
      </c>
      <c r="L19" s="1438"/>
      <c r="M19" s="1438"/>
      <c r="N19" s="1438"/>
      <c r="O19" s="1438"/>
      <c r="P19" s="1438"/>
      <c r="Q19" s="1438"/>
      <c r="R19" s="1438"/>
      <c r="S19" s="1438"/>
      <c r="T19" s="1438"/>
      <c r="U19" s="1438"/>
      <c r="V19" s="1438"/>
      <c r="W19" s="1438"/>
      <c r="X19" s="1438"/>
      <c r="Y19" s="1438"/>
      <c r="Z19" s="1438"/>
      <c r="AA19" s="1438"/>
      <c r="AB19" s="1438"/>
    </row>
    <row r="20" ht="18.75" customHeight="1">
      <c r="A20" s="158"/>
      <c r="B20" s="2841" t="s">
        <v>220</v>
      </c>
      <c r="C20" s="2930" t="s">
        <v>172</v>
      </c>
      <c r="D20" s="2523" t="s">
        <v>118</v>
      </c>
      <c r="E20" s="2522" t="s">
        <v>118</v>
      </c>
      <c r="F20" s="2522" t="s">
        <v>118</v>
      </c>
      <c r="G20" s="2931" t="s">
        <v>118</v>
      </c>
      <c r="H20" s="2522" t="s">
        <v>118</v>
      </c>
      <c r="I20" s="2932" t="s">
        <v>92</v>
      </c>
      <c r="J20" s="2925" t="s">
        <v>91</v>
      </c>
      <c r="K20" s="2933" t="s">
        <v>92</v>
      </c>
      <c r="L20" s="1438"/>
      <c r="M20" s="1438"/>
      <c r="N20" s="1438"/>
      <c r="O20" s="1438"/>
      <c r="P20" s="1438"/>
      <c r="Q20" s="1438"/>
      <c r="R20" s="1438"/>
      <c r="S20" s="1438"/>
      <c r="T20" s="1438"/>
      <c r="U20" s="1438"/>
      <c r="V20" s="1438"/>
      <c r="W20" s="1438"/>
      <c r="X20" s="1438"/>
      <c r="Y20" s="1438"/>
      <c r="Z20" s="1438"/>
      <c r="AA20" s="1438"/>
      <c r="AB20" s="1438"/>
    </row>
    <row r="21" ht="6.0" customHeight="1">
      <c r="A21" s="2768"/>
      <c r="B21" s="2780"/>
      <c r="C21" s="2781"/>
      <c r="D21" s="2253" t="str">
        <f t="shared" ref="D21:K21" si="3">CONCATENATE("{""status"": ", IF(GT(D22, D23), """aangenomen""", """verworpen"""), ", ""title"": """, D7, """, ""url"": """,D13  , """, ""voor"":", D22,", ""tegen"": ", D23, ", ""onthouden"":", D24, "}")</f>
        <v>{"status": "aangenomen", "title": "W0001", "url": "https://www.reddit.com/r/RMTK/comments/9uriq3", "voor":6, "tegen": 3, "onthouden":0}</v>
      </c>
      <c r="E21" s="2253" t="str">
        <f t="shared" si="3"/>
        <v>{"status": "aangenomen", "title": "W0002", "url": "https://www.reddit.com/r/RMTK/comments/9uriq3", "voor":4, "tegen": 3, "onthouden":0}</v>
      </c>
      <c r="F21" s="2253" t="str">
        <f t="shared" si="3"/>
        <v>{"status": "aangenomen", "title": "W0003", "url": "https://www.reddit.com/r/RMTK/comments/a0wpec/", "voor":5, "tegen": 0, "onthouden":2}</v>
      </c>
      <c r="G21" s="2253" t="str">
        <f t="shared" si="3"/>
        <v>{"status": "verworpen", "title": "W0004", "url": "https://reddit.com/r/RMTK/comments/a7lfim", "voor":1, "tegen": 5, "onthouden":0}</v>
      </c>
      <c r="H21" s="2253" t="str">
        <f t="shared" si="3"/>
        <v>{"status": "verworpen", "title": "W0006", "url": "https://reddit.com/r/RMTK/comments/abwerm", "voor":2, "tegen": 2, "onthouden":0}</v>
      </c>
      <c r="I21" s="2934" t="str">
        <f t="shared" si="3"/>
        <v>{"status": "aangenomen", "title": "W0006", "url": "https://reddit.com/r/RMTK/comments/abwerm", "voor":5, "tegen": 3, "onthouden":0}</v>
      </c>
      <c r="J21" s="2935" t="str">
        <f t="shared" si="3"/>
        <v>{"status": "aangenomen", "title": "W0008", "url": "https://reddit.com/r/RMTK/comments/aehqrq", "voor":5, "tegen": 2, "onthouden":1}</v>
      </c>
      <c r="K21" s="2936" t="str">
        <f t="shared" si="3"/>
        <v>{"status": "verworpen", "title": "TE0001", "url": "https://reddit.com/r/RMTK/comments/aiejgc", "voor":3, "tegen": 4, "onthouden":0}</v>
      </c>
      <c r="L21" s="1438"/>
      <c r="M21" s="1438"/>
      <c r="N21" s="1438"/>
      <c r="O21" s="1438"/>
      <c r="P21" s="1438"/>
      <c r="Q21" s="1438"/>
      <c r="R21" s="1438"/>
      <c r="S21" s="1438"/>
      <c r="T21" s="1438"/>
      <c r="U21" s="1438"/>
      <c r="V21" s="1438"/>
      <c r="W21" s="1438"/>
      <c r="X21" s="1438"/>
      <c r="Y21" s="1438"/>
      <c r="Z21" s="1438"/>
      <c r="AA21" s="1438"/>
      <c r="AB21" s="1438"/>
    </row>
    <row r="22" ht="18.75" customHeight="1">
      <c r="A22" s="2660" t="s">
        <v>119</v>
      </c>
      <c r="B22" s="2661" t="s">
        <v>91</v>
      </c>
      <c r="D22" s="2662">
        <f t="shared" ref="D22:K22" si="4">COUNTIF(D6:D20,"Voor")</f>
        <v>6</v>
      </c>
      <c r="E22" s="2783">
        <f t="shared" si="4"/>
        <v>4</v>
      </c>
      <c r="F22" s="2783">
        <f t="shared" si="4"/>
        <v>5</v>
      </c>
      <c r="G22" s="2783">
        <f t="shared" si="4"/>
        <v>1</v>
      </c>
      <c r="H22" s="2783">
        <f t="shared" si="4"/>
        <v>2</v>
      </c>
      <c r="I22" s="2783">
        <f t="shared" si="4"/>
        <v>5</v>
      </c>
      <c r="J22" s="2783">
        <f t="shared" si="4"/>
        <v>5</v>
      </c>
      <c r="K22" s="2783">
        <f t="shared" si="4"/>
        <v>3</v>
      </c>
      <c r="L22" s="1438"/>
      <c r="M22" s="1438"/>
      <c r="N22" s="1438"/>
      <c r="O22" s="1438"/>
      <c r="P22" s="1438"/>
      <c r="Q22" s="1438"/>
      <c r="R22" s="1438"/>
      <c r="S22" s="1438"/>
      <c r="T22" s="1438"/>
      <c r="U22" s="1438"/>
      <c r="V22" s="1438"/>
      <c r="W22" s="1438"/>
      <c r="X22" s="1438"/>
      <c r="Y22" s="1438"/>
      <c r="Z22" s="1438"/>
      <c r="AA22" s="1438"/>
      <c r="AB22" s="1438"/>
    </row>
    <row r="23" ht="18.75" customHeight="1">
      <c r="B23" s="2663" t="s">
        <v>92</v>
      </c>
      <c r="D23" s="2664">
        <f t="shared" ref="D23:K23" si="5">COUNTIF(D6:D20,"Tegen")</f>
        <v>3</v>
      </c>
      <c r="E23" s="2784">
        <f t="shared" si="5"/>
        <v>3</v>
      </c>
      <c r="F23" s="2784">
        <f t="shared" si="5"/>
        <v>0</v>
      </c>
      <c r="G23" s="2784">
        <f t="shared" si="5"/>
        <v>5</v>
      </c>
      <c r="H23" s="2784">
        <f t="shared" si="5"/>
        <v>2</v>
      </c>
      <c r="I23" s="2784">
        <f t="shared" si="5"/>
        <v>3</v>
      </c>
      <c r="J23" s="2784">
        <f t="shared" si="5"/>
        <v>2</v>
      </c>
      <c r="K23" s="2784">
        <f t="shared" si="5"/>
        <v>4</v>
      </c>
      <c r="L23" s="1438"/>
      <c r="M23" s="1438"/>
      <c r="N23" s="1438"/>
      <c r="O23" s="1438"/>
      <c r="P23" s="1438"/>
      <c r="Q23" s="1438"/>
      <c r="R23" s="1438"/>
      <c r="S23" s="1438"/>
      <c r="T23" s="1438"/>
      <c r="U23" s="1438"/>
      <c r="V23" s="1438"/>
      <c r="W23" s="1438"/>
      <c r="X23" s="1438"/>
      <c r="Y23" s="1438"/>
      <c r="Z23" s="1438"/>
      <c r="AA23" s="1438"/>
      <c r="AB23" s="1438"/>
    </row>
    <row r="24" ht="18.75" customHeight="1">
      <c r="B24" s="2785" t="s">
        <v>120</v>
      </c>
      <c r="D24" s="2666">
        <f t="shared" ref="D24:K24" si="6">COUNTIF(D6:D20,"SO")</f>
        <v>0</v>
      </c>
      <c r="E24" s="2786">
        <f t="shared" si="6"/>
        <v>0</v>
      </c>
      <c r="F24" s="2786">
        <f t="shared" si="6"/>
        <v>2</v>
      </c>
      <c r="G24" s="2786">
        <f t="shared" si="6"/>
        <v>0</v>
      </c>
      <c r="H24" s="2786">
        <f t="shared" si="6"/>
        <v>0</v>
      </c>
      <c r="I24" s="2786">
        <f t="shared" si="6"/>
        <v>0</v>
      </c>
      <c r="J24" s="2786">
        <f t="shared" si="6"/>
        <v>1</v>
      </c>
      <c r="K24" s="2786">
        <f t="shared" si="6"/>
        <v>0</v>
      </c>
      <c r="L24" s="1438"/>
      <c r="M24" s="1438"/>
      <c r="N24" s="1438"/>
      <c r="O24" s="1438"/>
      <c r="P24" s="1438"/>
      <c r="Q24" s="1438"/>
      <c r="R24" s="1438"/>
      <c r="S24" s="1438"/>
      <c r="T24" s="1438"/>
      <c r="U24" s="1438"/>
      <c r="V24" s="1438"/>
      <c r="W24" s="1438"/>
      <c r="X24" s="1438"/>
      <c r="Y24" s="1438"/>
      <c r="Z24" s="1438"/>
      <c r="AA24" s="1438"/>
      <c r="AB24" s="1438"/>
    </row>
    <row r="25" ht="18.75" customHeight="1">
      <c r="B25" s="2787" t="s">
        <v>121</v>
      </c>
      <c r="D25" s="2668">
        <f t="shared" ref="D25:K25" si="7">COUNTIF(D6:D20,"NG")</f>
        <v>1</v>
      </c>
      <c r="E25" s="2788">
        <f t="shared" si="7"/>
        <v>3</v>
      </c>
      <c r="F25" s="2788">
        <f t="shared" si="7"/>
        <v>3</v>
      </c>
      <c r="G25" s="2788">
        <f t="shared" si="7"/>
        <v>4</v>
      </c>
      <c r="H25" s="2788">
        <f t="shared" si="7"/>
        <v>6</v>
      </c>
      <c r="I25" s="2788">
        <f t="shared" si="7"/>
        <v>2</v>
      </c>
      <c r="J25" s="2788">
        <f t="shared" si="7"/>
        <v>2</v>
      </c>
      <c r="K25" s="2788">
        <f t="shared" si="7"/>
        <v>3</v>
      </c>
      <c r="L25" s="1438"/>
      <c r="M25" s="1438"/>
      <c r="N25" s="1438"/>
      <c r="O25" s="1438"/>
      <c r="P25" s="1438"/>
      <c r="Q25" s="1438"/>
      <c r="R25" s="1438"/>
      <c r="S25" s="1438"/>
      <c r="T25" s="1438"/>
      <c r="U25" s="1438"/>
      <c r="V25" s="1438"/>
      <c r="W25" s="1438"/>
      <c r="X25" s="1438"/>
      <c r="Y25" s="1438"/>
      <c r="Z25" s="1438"/>
      <c r="AA25" s="1438"/>
      <c r="AB25" s="1438"/>
    </row>
    <row r="26" ht="18.75" customHeight="1">
      <c r="B26" s="2669" t="s">
        <v>122</v>
      </c>
      <c r="D26" s="2746">
        <f t="shared" ref="D26:K26" si="8">SUM(D22:D25)</f>
        <v>10</v>
      </c>
      <c r="E26" s="2670">
        <f t="shared" si="8"/>
        <v>10</v>
      </c>
      <c r="F26" s="2670">
        <f t="shared" si="8"/>
        <v>10</v>
      </c>
      <c r="G26" s="2670">
        <f t="shared" si="8"/>
        <v>10</v>
      </c>
      <c r="H26" s="2670">
        <f t="shared" si="8"/>
        <v>10</v>
      </c>
      <c r="I26" s="2670">
        <f t="shared" si="8"/>
        <v>10</v>
      </c>
      <c r="J26" s="2670">
        <f t="shared" si="8"/>
        <v>10</v>
      </c>
      <c r="K26" s="2670">
        <f t="shared" si="8"/>
        <v>10</v>
      </c>
      <c r="L26" s="1438"/>
      <c r="M26" s="1438"/>
      <c r="N26" s="1438"/>
      <c r="O26" s="1438"/>
      <c r="P26" s="1438"/>
      <c r="Q26" s="1438"/>
      <c r="R26" s="1438"/>
      <c r="S26" s="1438"/>
      <c r="T26" s="1438"/>
      <c r="U26" s="1438"/>
      <c r="V26" s="1438"/>
      <c r="W26" s="1438"/>
      <c r="X26" s="1438"/>
      <c r="Y26" s="1438"/>
      <c r="Z26" s="1438"/>
      <c r="AA26" s="1438"/>
      <c r="AB26" s="1438"/>
    </row>
    <row r="27" ht="18.75" customHeight="1">
      <c r="B27" s="2671" t="s">
        <v>124</v>
      </c>
      <c r="D27" s="2747">
        <f t="shared" ref="D27:K27" si="9">D22+D23+D24</f>
        <v>9</v>
      </c>
      <c r="E27" s="2672">
        <f t="shared" si="9"/>
        <v>7</v>
      </c>
      <c r="F27" s="2672">
        <f t="shared" si="9"/>
        <v>7</v>
      </c>
      <c r="G27" s="2672">
        <f t="shared" si="9"/>
        <v>6</v>
      </c>
      <c r="H27" s="2672">
        <f t="shared" si="9"/>
        <v>4</v>
      </c>
      <c r="I27" s="2672">
        <f t="shared" si="9"/>
        <v>8</v>
      </c>
      <c r="J27" s="2672">
        <f t="shared" si="9"/>
        <v>8</v>
      </c>
      <c r="K27" s="2672">
        <f t="shared" si="9"/>
        <v>7</v>
      </c>
      <c r="L27" s="1438"/>
      <c r="M27" s="1438"/>
      <c r="N27" s="1438"/>
      <c r="O27" s="1438"/>
      <c r="P27" s="1438"/>
      <c r="Q27" s="1438"/>
      <c r="R27" s="1438"/>
      <c r="S27" s="1438"/>
      <c r="T27" s="1438"/>
      <c r="U27" s="1438"/>
      <c r="V27" s="1438"/>
      <c r="W27" s="1438"/>
      <c r="X27" s="1438"/>
      <c r="Y27" s="1438"/>
      <c r="Z27" s="1438"/>
      <c r="AA27" s="1438"/>
      <c r="AB27" s="1438"/>
    </row>
    <row r="28" ht="18.75" customHeight="1">
      <c r="B28" s="2673" t="s">
        <v>125</v>
      </c>
      <c r="C28" s="131"/>
      <c r="D28" s="2748">
        <f t="shared" ref="D28:K28" si="10">IFERROR(D27/D26,"")</f>
        <v>0.9</v>
      </c>
      <c r="E28" s="2674">
        <f t="shared" si="10"/>
        <v>0.7</v>
      </c>
      <c r="F28" s="2674">
        <f t="shared" si="10"/>
        <v>0.7</v>
      </c>
      <c r="G28" s="2674">
        <f t="shared" si="10"/>
        <v>0.6</v>
      </c>
      <c r="H28" s="2674">
        <f t="shared" si="10"/>
        <v>0.4</v>
      </c>
      <c r="I28" s="2674">
        <f t="shared" si="10"/>
        <v>0.8</v>
      </c>
      <c r="J28" s="2674">
        <f t="shared" si="10"/>
        <v>0.8</v>
      </c>
      <c r="K28" s="2674">
        <f t="shared" si="10"/>
        <v>0.7</v>
      </c>
      <c r="L28" s="1438"/>
      <c r="M28" s="1438"/>
      <c r="N28" s="1438"/>
      <c r="O28" s="1438"/>
      <c r="P28" s="1438"/>
      <c r="Q28" s="1438"/>
      <c r="R28" s="1438"/>
      <c r="S28" s="1438"/>
      <c r="T28" s="1438"/>
      <c r="U28" s="1438"/>
      <c r="V28" s="1438"/>
      <c r="W28" s="1438"/>
      <c r="X28" s="1438"/>
      <c r="Y28" s="1438"/>
      <c r="Z28" s="1438"/>
      <c r="AA28" s="1438"/>
      <c r="AB28" s="1438"/>
    </row>
    <row r="29" ht="18.75" customHeight="1">
      <c r="A29" s="2624"/>
      <c r="B29" s="2624"/>
      <c r="C29" s="2624"/>
      <c r="D29" s="1438"/>
      <c r="E29" s="1438"/>
      <c r="F29" s="1438"/>
      <c r="G29" s="1438"/>
      <c r="H29" s="1438"/>
      <c r="I29" s="1438"/>
      <c r="J29" s="1438"/>
      <c r="K29" s="1438"/>
      <c r="L29" s="1438"/>
      <c r="M29" s="1438"/>
      <c r="N29" s="1438"/>
      <c r="O29" s="1438"/>
      <c r="P29" s="1438"/>
      <c r="Q29" s="1438"/>
      <c r="R29" s="1438"/>
      <c r="S29" s="1438"/>
      <c r="T29" s="1438"/>
      <c r="U29" s="1438"/>
      <c r="V29" s="1438"/>
      <c r="W29" s="1438"/>
      <c r="X29" s="1438"/>
      <c r="Y29" s="1438"/>
      <c r="Z29" s="1438"/>
      <c r="AA29" s="1438"/>
      <c r="AB29" s="1438"/>
    </row>
    <row r="30" ht="18.75" customHeight="1">
      <c r="A30" s="1438"/>
      <c r="B30" s="1438"/>
      <c r="C30" s="1438"/>
      <c r="D30" s="1438"/>
      <c r="E30" s="1438"/>
      <c r="F30" s="1438"/>
      <c r="G30" s="1438"/>
      <c r="H30" s="1438"/>
      <c r="I30" s="1438"/>
      <c r="J30" s="1438"/>
      <c r="K30" s="1438"/>
      <c r="L30" s="1438"/>
      <c r="M30" s="1438"/>
      <c r="N30" s="1438"/>
      <c r="O30" s="1438"/>
      <c r="P30" s="1438"/>
      <c r="Q30" s="1438"/>
      <c r="R30" s="1438"/>
      <c r="S30" s="1438"/>
      <c r="T30" s="1438"/>
      <c r="U30" s="1438"/>
      <c r="V30" s="1438"/>
      <c r="W30" s="1438"/>
      <c r="X30" s="1438"/>
      <c r="Y30" s="1438"/>
      <c r="Z30" s="1438"/>
      <c r="AA30" s="1438"/>
      <c r="AB30" s="1438"/>
    </row>
  </sheetData>
  <mergeCells count="15">
    <mergeCell ref="A22:A28"/>
    <mergeCell ref="B22:C22"/>
    <mergeCell ref="B23:C23"/>
    <mergeCell ref="B24:C24"/>
    <mergeCell ref="B25:C25"/>
    <mergeCell ref="B26:C26"/>
    <mergeCell ref="B27:C27"/>
    <mergeCell ref="B28:C28"/>
    <mergeCell ref="A2:C2"/>
    <mergeCell ref="D2:N2"/>
    <mergeCell ref="A4:C4"/>
    <mergeCell ref="D4:K6"/>
    <mergeCell ref="A5:C6"/>
    <mergeCell ref="A9:A12"/>
    <mergeCell ref="A14:A20"/>
  </mergeCells>
  <conditionalFormatting sqref="D13 I19:K20 D20:H20">
    <cfRule type="containsText" dxfId="2" priority="1" operator="containsText" text="SO">
      <formula>NOT(ISERROR(SEARCH(("SO"),(D13))))</formula>
    </cfRule>
  </conditionalFormatting>
  <conditionalFormatting sqref="D13">
    <cfRule type="containsText" dxfId="36" priority="2" operator="containsText" text="voor">
      <formula>NOT(ISERROR(SEARCH(("voor"),(D13))))</formula>
    </cfRule>
  </conditionalFormatting>
  <conditionalFormatting sqref="D13 I19:K20 D20:H20">
    <cfRule type="containsText" dxfId="5" priority="3" operator="containsText" text="NG">
      <formula>NOT(ISERROR(SEARCH(("NG"),(D13))))</formula>
    </cfRule>
  </conditionalFormatting>
  <conditionalFormatting sqref="D13 I19:K20 D20:H20">
    <cfRule type="containsText" dxfId="6" priority="4" operator="containsText" text="NVT">
      <formula>NOT(ISERROR(SEARCH(("NVT"),(D13))))</formula>
    </cfRule>
  </conditionalFormatting>
  <conditionalFormatting sqref="A1:K3 L1:AB29 J7:K20 I8:I20 I22:K30 A29:C29 D29:H30">
    <cfRule type="containsText" dxfId="27" priority="5" operator="containsText" text="SO">
      <formula>NOT(ISERROR(SEARCH(("SO"),(A1))))</formula>
    </cfRule>
  </conditionalFormatting>
  <conditionalFormatting sqref="A1:K3 L1:AB29 J7:K20 I8:I20 I22:K30 A29:C29 D29:H30">
    <cfRule type="containsText" dxfId="28" priority="6" operator="containsText" text="N.v.t.">
      <formula>NOT(ISERROR(SEARCH(("N.v.t."),(A1))))</formula>
    </cfRule>
  </conditionalFormatting>
  <conditionalFormatting sqref="A1:K3 L1:AB29 J7:K20 I8:I20 I22:K30 A29:C29 D29:H30">
    <cfRule type="containsText" dxfId="29" priority="7" operator="containsText" text="Voor">
      <formula>NOT(ISERROR(SEARCH(("Voor"),(A1))))</formula>
    </cfRule>
  </conditionalFormatting>
  <conditionalFormatting sqref="A1:K3 L1:AB29 J7:K20 I8:I20 I22:K30 A29:C29 D29:H30">
    <cfRule type="containsText" dxfId="30" priority="8" operator="containsText" text="Tegen">
      <formula>NOT(ISERROR(SEARCH(("Tegen"),(A1))))</formula>
    </cfRule>
  </conditionalFormatting>
  <conditionalFormatting sqref="A1:K3 L1:AB29 J7:K20 I8:I20 I22:K30 A29:C29 D29:H30">
    <cfRule type="containsText" dxfId="31" priority="9" operator="containsText" text="N.v.t.">
      <formula>NOT(ISERROR(SEARCH(("N.v.t."),(A1))))</formula>
    </cfRule>
  </conditionalFormatting>
  <conditionalFormatting sqref="A1:K3 L1:AB29 J7:K20 I8:I20 I22:K30 A29:C29 D29:H30">
    <cfRule type="cellIs" dxfId="27" priority="10" operator="equal">
      <formula>"SO"</formula>
    </cfRule>
  </conditionalFormatting>
  <conditionalFormatting sqref="A1:K3 L1:AB29 J7:K20 I8:I20 I22:K30 A29:C29 D29:H30">
    <cfRule type="cellIs" dxfId="32" priority="11" operator="equal">
      <formula>"NG"</formula>
    </cfRule>
  </conditionalFormatting>
  <conditionalFormatting sqref="A1:A5 B1:C4 D1:I6 J1:K20 L1:AB29 A7:B29 C7:C13 D8:I20 C16:C29 D22:K30">
    <cfRule type="containsText" dxfId="0" priority="12" operator="containsText" text="voor">
      <formula>NOT(ISERROR(SEARCH(("voor"),(A1))))</formula>
    </cfRule>
  </conditionalFormatting>
  <conditionalFormatting sqref="A1:A5 B1:C4 D1:I6 J1:K20 L1:AB29 A7:B29 C7:C13 D8:I20 C16:C29 D22:K30">
    <cfRule type="containsText" dxfId="1" priority="13" operator="containsText" text="tegen">
      <formula>NOT(ISERROR(SEARCH(("tegen"),(A1))))</formula>
    </cfRule>
  </conditionalFormatting>
  <conditionalFormatting sqref="A1:C3 D1:I6 J1:K20 L1:AB29 D8:I20 D22:K30 A29:C29">
    <cfRule type="containsText" dxfId="33" priority="14" operator="containsText" text="SO">
      <formula>NOT(ISERROR(SEARCH(("SO"),(A1))))</formula>
    </cfRule>
  </conditionalFormatting>
  <conditionalFormatting sqref="A1:C3 D1:I6 J1:K20 L1:AB29 D8:I20 D22:K30 A29:C29">
    <cfRule type="containsText" dxfId="34" priority="15" operator="containsText" text="NG">
      <formula>NOT(ISERROR(SEARCH(("NG"),(A1))))</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CC4125"/>
    <outlinePr summaryBelow="0" summaryRight="0"/>
  </sheetPr>
  <sheetViews>
    <sheetView showGridLines="0" workbookViewId="0"/>
  </sheetViews>
  <sheetFormatPr customHeight="1" defaultColWidth="14.43" defaultRowHeight="15.75"/>
  <sheetData>
    <row r="1">
      <c r="A1" s="284" t="s">
        <v>137</v>
      </c>
      <c r="B1" s="131"/>
      <c r="C1" s="131"/>
      <c r="D1" s="131"/>
      <c r="E1" s="131"/>
      <c r="F1" s="131"/>
      <c r="G1" s="131"/>
      <c r="H1" s="131"/>
      <c r="I1" s="131"/>
      <c r="J1" s="132"/>
    </row>
    <row r="3">
      <c r="B3" s="285" t="s">
        <v>15</v>
      </c>
      <c r="C3" s="17"/>
      <c r="E3" s="286" t="s">
        <v>24</v>
      </c>
      <c r="F3" s="17"/>
      <c r="H3" s="287" t="s">
        <v>31</v>
      </c>
      <c r="I3" s="17"/>
    </row>
    <row r="4">
      <c r="B4" s="288" t="s">
        <v>138</v>
      </c>
      <c r="C4" s="289"/>
      <c r="D4" s="290"/>
      <c r="E4" s="291" t="s">
        <v>139</v>
      </c>
      <c r="F4" s="292"/>
      <c r="G4" s="290"/>
      <c r="H4" s="293" t="s">
        <v>140</v>
      </c>
      <c r="I4" s="294"/>
      <c r="J4" s="290"/>
    </row>
    <row r="5">
      <c r="B5" s="295" t="s">
        <v>94</v>
      </c>
      <c r="C5" s="296"/>
      <c r="D5" s="297"/>
      <c r="E5" s="298" t="s">
        <v>141</v>
      </c>
      <c r="F5" s="292"/>
      <c r="G5" s="297"/>
      <c r="H5" s="299" t="s">
        <v>111</v>
      </c>
      <c r="I5" s="294"/>
      <c r="J5" s="297"/>
    </row>
    <row r="6">
      <c r="B6" s="295" t="s">
        <v>95</v>
      </c>
      <c r="C6" s="296"/>
      <c r="D6" s="297"/>
      <c r="E6" s="300" t="s">
        <v>108</v>
      </c>
      <c r="F6" s="292"/>
      <c r="G6" s="297"/>
      <c r="H6" s="299" t="s">
        <v>112</v>
      </c>
      <c r="I6" s="294"/>
      <c r="J6" s="297"/>
    </row>
    <row r="7">
      <c r="B7" s="295" t="s">
        <v>96</v>
      </c>
      <c r="C7" s="296"/>
      <c r="D7" s="297"/>
      <c r="E7" s="300" t="s">
        <v>25</v>
      </c>
      <c r="F7" s="292">
        <v>1.0</v>
      </c>
      <c r="G7" s="297"/>
      <c r="H7" s="299" t="s">
        <v>113</v>
      </c>
      <c r="I7" s="294">
        <v>3.0</v>
      </c>
      <c r="J7" s="301" t="s">
        <v>142</v>
      </c>
    </row>
    <row r="8">
      <c r="B8" s="295" t="s">
        <v>97</v>
      </c>
      <c r="C8" s="296"/>
      <c r="D8" s="297"/>
      <c r="E8" s="300" t="s">
        <v>109</v>
      </c>
      <c r="F8" s="292"/>
      <c r="G8" s="302"/>
      <c r="H8" s="303" t="s">
        <v>114</v>
      </c>
      <c r="I8" s="304">
        <v>2.0</v>
      </c>
      <c r="J8" s="302"/>
    </row>
    <row r="9">
      <c r="B9" s="295" t="s">
        <v>98</v>
      </c>
      <c r="C9" s="296"/>
      <c r="D9" s="297"/>
      <c r="E9" s="305" t="s">
        <v>110</v>
      </c>
      <c r="F9" s="306"/>
      <c r="G9" s="297"/>
      <c r="H9" s="297"/>
      <c r="I9" s="297"/>
      <c r="J9" s="297"/>
    </row>
    <row r="10">
      <c r="B10" s="307" t="s">
        <v>99</v>
      </c>
      <c r="C10" s="308"/>
      <c r="D10" s="297"/>
      <c r="E10" s="297"/>
      <c r="F10" s="297"/>
      <c r="G10" s="297"/>
      <c r="H10" s="297"/>
      <c r="I10" s="297"/>
      <c r="J10" s="297"/>
    </row>
    <row r="11">
      <c r="A11" s="309"/>
      <c r="B11" s="309"/>
      <c r="D11" s="297"/>
      <c r="E11" s="297"/>
      <c r="F11" s="297"/>
      <c r="G11" s="297"/>
      <c r="H11" s="297"/>
      <c r="I11" s="297"/>
      <c r="J11" s="297"/>
    </row>
    <row r="12">
      <c r="A12" s="310"/>
      <c r="B12" s="311" t="s">
        <v>36</v>
      </c>
      <c r="C12" s="17"/>
      <c r="D12" s="310"/>
      <c r="E12" s="312" t="s">
        <v>47</v>
      </c>
      <c r="F12" s="17"/>
      <c r="G12" s="310"/>
      <c r="H12" s="313" t="s">
        <v>53</v>
      </c>
      <c r="I12" s="17"/>
      <c r="J12" s="310"/>
    </row>
    <row r="13">
      <c r="A13" s="310"/>
      <c r="B13" s="314" t="s">
        <v>143</v>
      </c>
      <c r="C13" s="315"/>
      <c r="D13" s="310"/>
      <c r="E13" s="316" t="s">
        <v>144</v>
      </c>
      <c r="F13" s="317"/>
      <c r="G13" s="310"/>
      <c r="H13" s="318" t="s">
        <v>116</v>
      </c>
      <c r="I13" s="319"/>
      <c r="J13" s="310"/>
    </row>
    <row r="14">
      <c r="A14" s="310"/>
      <c r="B14" s="320" t="s">
        <v>37</v>
      </c>
      <c r="C14" s="315"/>
      <c r="D14" s="310"/>
      <c r="E14" s="321" t="s">
        <v>104</v>
      </c>
      <c r="F14" s="322"/>
      <c r="G14" s="310"/>
      <c r="H14" s="310"/>
      <c r="I14" s="310"/>
      <c r="J14" s="310"/>
    </row>
    <row r="15">
      <c r="A15" s="310"/>
      <c r="B15" s="320" t="s">
        <v>101</v>
      </c>
      <c r="C15" s="315"/>
      <c r="D15" s="310"/>
      <c r="E15" s="310"/>
      <c r="F15" s="310"/>
      <c r="G15" s="310"/>
      <c r="H15" s="310"/>
      <c r="I15" s="310"/>
      <c r="J15" s="310"/>
    </row>
    <row r="16">
      <c r="A16" s="310"/>
      <c r="B16" s="323" t="s">
        <v>102</v>
      </c>
      <c r="C16" s="324">
        <v>2.0</v>
      </c>
      <c r="D16" s="310"/>
      <c r="E16" s="310"/>
      <c r="F16" s="310"/>
      <c r="G16" s="310"/>
      <c r="H16" s="310"/>
      <c r="I16" s="310"/>
      <c r="J16" s="310"/>
    </row>
    <row r="17">
      <c r="A17" s="310"/>
      <c r="B17" s="310"/>
      <c r="C17" s="310"/>
      <c r="D17" s="310"/>
      <c r="E17" s="310"/>
      <c r="F17" s="310"/>
      <c r="G17" s="310"/>
      <c r="H17" s="310"/>
      <c r="I17" s="310"/>
      <c r="J17" s="310"/>
    </row>
    <row r="18">
      <c r="A18" s="310"/>
      <c r="B18" s="310"/>
      <c r="C18" s="310"/>
      <c r="D18" s="310"/>
      <c r="E18" s="310"/>
      <c r="F18" s="310"/>
      <c r="G18" s="310"/>
      <c r="H18" s="310"/>
      <c r="I18" s="310"/>
      <c r="J18" s="310"/>
    </row>
    <row r="19">
      <c r="A19" s="284" t="s">
        <v>145</v>
      </c>
      <c r="B19" s="131"/>
      <c r="C19" s="131"/>
      <c r="D19" s="131"/>
      <c r="E19" s="131"/>
      <c r="F19" s="131"/>
      <c r="G19" s="131"/>
      <c r="H19" s="131"/>
      <c r="I19" s="131"/>
      <c r="J19" s="132"/>
    </row>
    <row r="20">
      <c r="A20" s="310"/>
      <c r="B20" s="310"/>
      <c r="C20" s="310"/>
      <c r="D20" s="310"/>
      <c r="E20" s="325" t="s">
        <v>146</v>
      </c>
      <c r="F20" s="326">
        <v>2.0</v>
      </c>
      <c r="G20" s="310"/>
      <c r="H20" s="310"/>
      <c r="I20" s="310"/>
      <c r="J20" s="310"/>
    </row>
    <row r="21">
      <c r="A21" s="310"/>
      <c r="B21" s="310"/>
      <c r="C21" s="310"/>
      <c r="D21" s="310"/>
      <c r="E21" s="327"/>
      <c r="F21" s="328"/>
      <c r="G21" s="310"/>
      <c r="H21" s="310"/>
      <c r="I21" s="310"/>
      <c r="J21" s="310"/>
    </row>
    <row r="22">
      <c r="A22" s="310"/>
      <c r="B22" s="310"/>
      <c r="C22" s="310"/>
      <c r="D22" s="310"/>
      <c r="E22" s="327"/>
      <c r="F22" s="328"/>
      <c r="G22" s="310"/>
      <c r="H22" s="310"/>
      <c r="I22" s="310"/>
      <c r="J22" s="310"/>
    </row>
    <row r="23">
      <c r="A23" s="310"/>
      <c r="B23" s="310"/>
      <c r="C23" s="310"/>
      <c r="D23" s="310"/>
      <c r="E23" s="327"/>
      <c r="F23" s="328"/>
      <c r="G23" s="310"/>
      <c r="H23" s="310"/>
      <c r="I23" s="310"/>
      <c r="J23" s="310"/>
    </row>
    <row r="24">
      <c r="A24" s="310"/>
      <c r="B24" s="310"/>
      <c r="C24" s="310"/>
      <c r="D24" s="310"/>
      <c r="E24" s="327"/>
      <c r="F24" s="328"/>
      <c r="G24" s="310"/>
      <c r="H24" s="310"/>
      <c r="I24" s="310"/>
      <c r="J24" s="310"/>
    </row>
    <row r="25">
      <c r="A25" s="310"/>
      <c r="B25" s="310"/>
      <c r="C25" s="310"/>
      <c r="D25" s="310"/>
      <c r="E25" s="327"/>
      <c r="F25" s="328"/>
      <c r="G25" s="310"/>
      <c r="H25" s="310"/>
      <c r="I25" s="310"/>
      <c r="J25" s="310"/>
    </row>
    <row r="26">
      <c r="A26" s="310"/>
      <c r="B26" s="310"/>
      <c r="C26" s="310"/>
      <c r="D26" s="310"/>
      <c r="E26" s="327"/>
      <c r="F26" s="328"/>
      <c r="G26" s="310"/>
      <c r="H26" s="310"/>
      <c r="I26" s="310"/>
      <c r="J26" s="310"/>
    </row>
    <row r="27">
      <c r="A27" s="310"/>
      <c r="B27" s="310"/>
      <c r="C27" s="310"/>
      <c r="D27" s="310"/>
      <c r="E27" s="327"/>
      <c r="F27" s="328"/>
      <c r="G27" s="310"/>
      <c r="H27" s="310"/>
      <c r="I27" s="310"/>
      <c r="J27" s="310"/>
    </row>
    <row r="28">
      <c r="A28" s="310"/>
      <c r="B28" s="310"/>
      <c r="C28" s="310"/>
      <c r="D28" s="310"/>
      <c r="E28" s="327"/>
      <c r="F28" s="328"/>
      <c r="G28" s="310"/>
      <c r="H28" s="310"/>
      <c r="I28" s="310"/>
      <c r="J28" s="310"/>
    </row>
    <row r="29">
      <c r="A29" s="310"/>
      <c r="B29" s="310"/>
      <c r="C29" s="310"/>
      <c r="D29" s="310"/>
      <c r="E29" s="327"/>
      <c r="F29" s="328"/>
      <c r="G29" s="310"/>
      <c r="H29" s="310"/>
      <c r="I29" s="310"/>
      <c r="J29" s="310"/>
    </row>
    <row r="30">
      <c r="A30" s="310"/>
      <c r="B30" s="310"/>
      <c r="C30" s="310"/>
      <c r="D30" s="310"/>
      <c r="E30" s="327"/>
      <c r="F30" s="328"/>
      <c r="G30" s="310"/>
      <c r="H30" s="310"/>
      <c r="I30" s="310"/>
      <c r="J30" s="310"/>
    </row>
  </sheetData>
  <mergeCells count="8">
    <mergeCell ref="A1:J1"/>
    <mergeCell ref="B3:C3"/>
    <mergeCell ref="E3:F3"/>
    <mergeCell ref="H3:I3"/>
    <mergeCell ref="B12:C12"/>
    <mergeCell ref="E12:F12"/>
    <mergeCell ref="H12:I12"/>
    <mergeCell ref="A19:J19"/>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45818E"/>
    <outlinePr summaryBelow="0" summaryRight="0"/>
  </sheetPr>
  <sheetViews>
    <sheetView workbookViewId="0">
      <pane ySplit="2.0" topLeftCell="A3" activePane="bottomLeft" state="frozen"/>
      <selection activeCell="B4" sqref="B4" pane="bottomLeft"/>
    </sheetView>
  </sheetViews>
  <sheetFormatPr customHeight="1" defaultColWidth="14.43" defaultRowHeight="15.75"/>
  <cols>
    <col customWidth="1" min="1" max="1" width="29.29"/>
    <col customWidth="1" min="2" max="2" width="10.29"/>
    <col customWidth="1" min="3" max="3" width="8.43"/>
    <col customWidth="1" min="4" max="4" width="19.29"/>
    <col customWidth="1" min="5" max="5" width="105.86"/>
    <col customWidth="1" min="6" max="6" width="0.86"/>
    <col customWidth="1" min="7" max="7" width="13.0"/>
    <col customWidth="1" min="8" max="8" width="0.86"/>
    <col customWidth="1" min="9" max="10" width="12.57"/>
    <col customWidth="1" min="11" max="11" width="0.86"/>
    <col customWidth="1" min="12" max="12" width="66.43"/>
  </cols>
  <sheetData>
    <row r="1" ht="30.75" customHeight="1">
      <c r="A1" s="329" t="s">
        <v>147</v>
      </c>
      <c r="B1" s="330"/>
      <c r="C1" s="330"/>
      <c r="D1" s="330"/>
      <c r="E1" s="27"/>
      <c r="F1" s="331"/>
      <c r="G1" s="332" t="s">
        <v>148</v>
      </c>
      <c r="H1" s="333"/>
      <c r="I1" s="334" t="s">
        <v>149</v>
      </c>
      <c r="J1" s="335"/>
      <c r="K1" s="336"/>
      <c r="L1" s="337" t="s">
        <v>150</v>
      </c>
    </row>
    <row r="2">
      <c r="A2" s="338" t="s">
        <v>151</v>
      </c>
      <c r="B2" s="339" t="s">
        <v>152</v>
      </c>
      <c r="C2" s="339" t="s">
        <v>153</v>
      </c>
      <c r="D2" s="340" t="s">
        <v>154</v>
      </c>
      <c r="E2" s="341" t="s">
        <v>155</v>
      </c>
      <c r="F2" s="342"/>
      <c r="G2" s="343" t="s">
        <v>156</v>
      </c>
      <c r="H2" s="344"/>
      <c r="I2" s="343" t="s">
        <v>157</v>
      </c>
      <c r="J2" s="345" t="s">
        <v>158</v>
      </c>
      <c r="K2" s="346"/>
      <c r="L2" s="27"/>
    </row>
    <row r="3" ht="17.25" customHeight="1">
      <c r="A3" s="347" t="s">
        <v>159</v>
      </c>
      <c r="B3" s="348" t="s">
        <v>160</v>
      </c>
      <c r="C3" s="349" t="s">
        <v>161</v>
      </c>
      <c r="D3" s="349" t="s">
        <v>162</v>
      </c>
      <c r="E3" s="350" t="str">
        <f>HYPERLINK("https://www.reddit.com/r/RMTK/comments/9uck83/m0001_motie_van_wantrouwen_jegens_de_minister_ocws/","Motie van Wantrouwen jegens de minister OCWS")</f>
        <v>Motie van Wantrouwen jegens de minister OCWS</v>
      </c>
      <c r="F3" s="351"/>
      <c r="G3" s="352" t="s">
        <v>163</v>
      </c>
      <c r="H3" s="353"/>
      <c r="I3" s="252" t="s">
        <v>164</v>
      </c>
      <c r="J3" s="352" t="s">
        <v>118</v>
      </c>
      <c r="K3" s="353"/>
      <c r="L3" s="354" t="s">
        <v>61</v>
      </c>
    </row>
    <row r="4" ht="17.25" customHeight="1">
      <c r="B4" s="348" t="s">
        <v>165</v>
      </c>
      <c r="C4" s="349" t="s">
        <v>161</v>
      </c>
      <c r="D4" s="349" t="s">
        <v>162</v>
      </c>
      <c r="E4" s="355" t="str">
        <f>HYPERLINK("https://www.reddit.com/r/RMTK/comments/9uhc7u/m0001_motie_van_afkeuring_jegens_de_minister_ocws/","Motie van afkeuring jegens de minister OCWS")</f>
        <v>Motie van afkeuring jegens de minister OCWS</v>
      </c>
      <c r="F4" s="351"/>
      <c r="G4" s="356" t="s">
        <v>166</v>
      </c>
      <c r="H4" s="353"/>
      <c r="I4" s="252" t="s">
        <v>164</v>
      </c>
      <c r="J4" s="357" t="str">
        <f>hyperlink("https://www.reddit.com/r/RMTKMedia/comments/a4kxdp/wijziging_van_partijleider_mbe/","Ja")</f>
        <v>Ja</v>
      </c>
      <c r="K4" s="353"/>
      <c r="L4" s="354" t="s">
        <v>167</v>
      </c>
    </row>
    <row r="5" ht="17.25" customHeight="1">
      <c r="B5" s="348" t="s">
        <v>168</v>
      </c>
      <c r="C5" s="358" t="s">
        <v>169</v>
      </c>
      <c r="D5" s="358" t="s">
        <v>101</v>
      </c>
      <c r="E5" s="359" t="str">
        <f>HYPERLINK("https://www.reddit.com/r/RMTK/comments/9v3mni/m0003_motie_tot_het_intrekken_van_het_plan_voor/","Motie tot het intrekken van het plan voor klassenverkleining naar 15 zetels")</f>
        <v>Motie tot het intrekken van het plan voor klassenverkleining naar 15 zetels</v>
      </c>
      <c r="F5" s="351"/>
      <c r="G5" s="360" t="s">
        <v>170</v>
      </c>
      <c r="H5" s="353"/>
      <c r="I5" s="252" t="s">
        <v>164</v>
      </c>
      <c r="J5" s="352" t="s">
        <v>118</v>
      </c>
      <c r="K5" s="353"/>
      <c r="L5" s="354" t="s">
        <v>61</v>
      </c>
    </row>
    <row r="6" ht="17.25" customHeight="1">
      <c r="B6" s="348" t="s">
        <v>171</v>
      </c>
      <c r="C6" s="349" t="s">
        <v>161</v>
      </c>
      <c r="D6" s="349" t="s">
        <v>172</v>
      </c>
      <c r="E6" s="359" t="str">
        <f>HYPERLINK("https://www.reddit.com/r/RMTK/comments/9vbs93/m0004_motie_tot_vrijheid_voor_ons_allen/","Motie tot vrijheid voor ons allen")</f>
        <v>Motie tot vrijheid voor ons allen</v>
      </c>
      <c r="F6" s="351"/>
      <c r="G6" s="360" t="s">
        <v>170</v>
      </c>
      <c r="H6" s="353"/>
      <c r="I6" s="252" t="s">
        <v>173</v>
      </c>
      <c r="J6" s="352" t="s">
        <v>118</v>
      </c>
      <c r="K6" s="353"/>
      <c r="L6" s="354" t="s">
        <v>61</v>
      </c>
    </row>
    <row r="7" ht="17.25" customHeight="1">
      <c r="B7" s="348" t="s">
        <v>174</v>
      </c>
      <c r="C7" s="361" t="s">
        <v>175</v>
      </c>
      <c r="D7" s="361" t="s">
        <v>176</v>
      </c>
      <c r="E7" s="359" t="str">
        <f>HYPERLINK("https://www.reddit.com/r/RMTK/comments/9xaw30/m0005_motie_tot_het_verdediging_van_de_abc/","Motie tot het verdediging van de ABC eilanden")</f>
        <v>Motie tot het verdediging van de ABC eilanden</v>
      </c>
      <c r="F7" s="351"/>
      <c r="G7" s="356" t="s">
        <v>166</v>
      </c>
      <c r="H7" s="353"/>
      <c r="I7" s="252" t="s">
        <v>177</v>
      </c>
      <c r="J7" s="357" t="str">
        <f>hyperlink ("https://www.reddit.com/r/RMTK/comments/a8d26g/ks0002_kamerbrief_aangaande_versterkingen_abc/","Ja")</f>
        <v>Ja</v>
      </c>
      <c r="K7" s="353"/>
      <c r="L7" s="354" t="s">
        <v>61</v>
      </c>
    </row>
    <row r="8" ht="17.25" customHeight="1">
      <c r="B8" s="348" t="s">
        <v>178</v>
      </c>
      <c r="C8" s="349" t="s">
        <v>161</v>
      </c>
      <c r="D8" s="349" t="s">
        <v>172</v>
      </c>
      <c r="E8" s="359" t="str">
        <f>HYPERLINK("https://www.reddit.com/r/RMTK/comments/9yb2l5/m0006_motie_tot_aanpassen_omgang_met_gegevens/","Motie tot aanpassen omgang met gegevens door Kamer van Koophandel")</f>
        <v>Motie tot aanpassen omgang met gegevens door Kamer van Koophandel</v>
      </c>
      <c r="F8" s="351"/>
      <c r="G8" s="356" t="s">
        <v>166</v>
      </c>
      <c r="H8" s="353"/>
      <c r="I8" s="252" t="s">
        <v>179</v>
      </c>
      <c r="J8" s="362" t="s">
        <v>180</v>
      </c>
      <c r="K8" s="353"/>
      <c r="L8" s="354" t="s">
        <v>61</v>
      </c>
    </row>
    <row r="9" ht="17.25" customHeight="1">
      <c r="B9" s="348" t="s">
        <v>181</v>
      </c>
      <c r="C9" s="349" t="s">
        <v>161</v>
      </c>
      <c r="D9" s="349" t="s">
        <v>182</v>
      </c>
      <c r="E9" s="359" t="str">
        <f>HYPERLINK("https://www.reddit.com/r/RMTK/comments/9yw1yh/m0007_motie_betreffende_plundering_venda_burial/","Motie betreffende plundering Venda Burial Society Mutual Bank ")</f>
        <v>Motie betreffende plundering Venda Burial Society Mutual Bank </v>
      </c>
      <c r="F9" s="351"/>
      <c r="G9" s="356" t="s">
        <v>166</v>
      </c>
      <c r="H9" s="353"/>
      <c r="I9" s="252" t="s">
        <v>183</v>
      </c>
      <c r="J9" s="357" t="str">
        <f>hyperlink("https://www.reddit.com/r/RMTK/comments/a7c1t4/ks0001_kamerbrief_aangaande_plundering_venda/","Ja")</f>
        <v>Ja</v>
      </c>
      <c r="K9" s="353"/>
      <c r="L9" s="354" t="s">
        <v>61</v>
      </c>
    </row>
    <row r="10" ht="17.25" customHeight="1">
      <c r="B10" s="348" t="s">
        <v>184</v>
      </c>
      <c r="C10" s="358" t="s">
        <v>169</v>
      </c>
      <c r="D10" s="358" t="s">
        <v>101</v>
      </c>
      <c r="E10" s="359" t="str">
        <f>HYPERLINK("https://www.reddit.com/r/RMTK/comments/a0hbsz/m0008_motie_betreffende_het_sluiten_van_chinese/","Motie betreffende het sluiten van Chinese heropvoedingskampen ")</f>
        <v>Motie betreffende het sluiten van Chinese heropvoedingskampen </v>
      </c>
      <c r="F10" s="351"/>
      <c r="G10" s="356" t="s">
        <v>166</v>
      </c>
      <c r="H10" s="353"/>
      <c r="I10" s="252" t="s">
        <v>183</v>
      </c>
      <c r="J10" s="357" t="str">
        <f>hyperlink("https://www.reddit.com/r/RMTK/comments/a943eb/ks0003_kamerbrief_aangaande_het_sluiten_van/","Ja")</f>
        <v>Ja</v>
      </c>
      <c r="K10" s="353"/>
      <c r="L10" s="354" t="s">
        <v>61</v>
      </c>
    </row>
    <row r="11" ht="17.25" customHeight="1">
      <c r="B11" s="348" t="s">
        <v>185</v>
      </c>
      <c r="C11" s="358" t="s">
        <v>169</v>
      </c>
      <c r="D11" s="358" t="s">
        <v>101</v>
      </c>
      <c r="E11" s="359" t="str">
        <f>HYPERLINK("https://www.reddit.com/r/RMTK/comments/a157uw/m0009_motie_over_de_aanbevelingen_van_het/","Motie over de aanbevelingen van het Planetary Security Initiative")</f>
        <v>Motie over de aanbevelingen van het Planetary Security Initiative</v>
      </c>
      <c r="F11" s="351"/>
      <c r="G11" s="356" t="s">
        <v>166</v>
      </c>
      <c r="H11" s="353"/>
      <c r="I11" s="252" t="s">
        <v>186</v>
      </c>
      <c r="J11" s="362" t="s">
        <v>180</v>
      </c>
      <c r="K11" s="353"/>
      <c r="L11" s="354" t="s">
        <v>61</v>
      </c>
    </row>
    <row r="12" ht="17.25" customHeight="1">
      <c r="B12" s="348" t="s">
        <v>187</v>
      </c>
      <c r="C12" s="349" t="s">
        <v>161</v>
      </c>
      <c r="D12" s="349" t="s">
        <v>172</v>
      </c>
      <c r="E12" s="359" t="str">
        <f>HYPERLINK("https://www.reddit.com/r/RMTK/comments/a3evk8/m0010_motie_gezamenlijke_oplossingen_voor/","Motie gezamenlijke oplossingen voor woningtekort middels langdurige leegstand vastgoed m.u.v. woningen")</f>
        <v>Motie gezamenlijke oplossingen voor woningtekort middels langdurige leegstand vastgoed m.u.v. woningen</v>
      </c>
      <c r="F12" s="351"/>
      <c r="G12" s="356" t="s">
        <v>166</v>
      </c>
      <c r="H12" s="353"/>
      <c r="I12" s="252" t="s">
        <v>188</v>
      </c>
      <c r="J12" s="362" t="s">
        <v>180</v>
      </c>
      <c r="K12" s="353"/>
      <c r="L12" s="354" t="s">
        <v>61</v>
      </c>
    </row>
    <row r="13" ht="17.25" customHeight="1">
      <c r="B13" s="348" t="s">
        <v>189</v>
      </c>
      <c r="C13" s="349" t="s">
        <v>161</v>
      </c>
      <c r="D13" s="349" t="s">
        <v>172</v>
      </c>
      <c r="E13" s="363" t="str">
        <f>HYPERLINK("https://reddit.com/r/RMTK/comments/a4kfpa", "Motie tot het veranderen van cultuur rondom het beschermen van privégegevens binnen de organisatie van de Belastingdienst")</f>
        <v>Motie tot het veranderen van cultuur rondom het beschermen van privégegevens binnen de organisatie van de Belastingdienst</v>
      </c>
      <c r="F13" s="351"/>
      <c r="G13" s="356" t="s">
        <v>166</v>
      </c>
      <c r="H13" s="353"/>
      <c r="I13" s="252" t="s">
        <v>186</v>
      </c>
      <c r="J13" s="362" t="s">
        <v>180</v>
      </c>
      <c r="K13" s="353"/>
      <c r="L13" s="354" t="s">
        <v>61</v>
      </c>
    </row>
    <row r="14" ht="17.25" customHeight="1">
      <c r="B14" s="348" t="s">
        <v>190</v>
      </c>
      <c r="C14" s="364" t="s">
        <v>31</v>
      </c>
      <c r="D14" s="364" t="s">
        <v>111</v>
      </c>
      <c r="E14" s="359" t="str">
        <f>HYPERLINK("https://www.reddit.com/r/RMTK/comments/a4x47a/m0012_motie_tot_het_toestaan_van_het/","Motie tot het toestaan van het Standaardfries in het parlement bij het stemmen")</f>
        <v>Motie tot het toestaan van het Standaardfries in het parlement bij het stemmen</v>
      </c>
      <c r="F14" s="351"/>
      <c r="G14" s="360" t="s">
        <v>170</v>
      </c>
      <c r="H14" s="353"/>
      <c r="I14" s="252" t="s">
        <v>191</v>
      </c>
      <c r="J14" s="352" t="s">
        <v>118</v>
      </c>
      <c r="K14" s="353"/>
      <c r="L14" s="354" t="s">
        <v>61</v>
      </c>
    </row>
    <row r="15" ht="17.25" customHeight="1">
      <c r="B15" s="348" t="s">
        <v>192</v>
      </c>
      <c r="C15" s="349" t="s">
        <v>161</v>
      </c>
      <c r="D15" s="349" t="s">
        <v>102</v>
      </c>
      <c r="E15" s="355" t="str">
        <f>HYPERLINK("https://www.reddit.com/r/RMTK/comments/a6yip8/m0013_motie_van_wantrouwen_tegen/","Motie van Wantrouwen tegen Kabinet-graansmoothie")</f>
        <v>Motie van Wantrouwen tegen Kabinet-graansmoothie</v>
      </c>
      <c r="F15" s="351"/>
      <c r="G15" s="360" t="s">
        <v>170</v>
      </c>
      <c r="H15" s="353"/>
      <c r="I15" s="252" t="s">
        <v>173</v>
      </c>
      <c r="J15" s="352" t="s">
        <v>118</v>
      </c>
      <c r="K15" s="353"/>
      <c r="L15" s="354" t="s">
        <v>61</v>
      </c>
    </row>
    <row r="16" ht="17.25" customHeight="1">
      <c r="B16" s="348" t="s">
        <v>193</v>
      </c>
      <c r="C16" s="349" t="s">
        <v>161</v>
      </c>
      <c r="D16" s="349" t="s">
        <v>172</v>
      </c>
      <c r="E16" s="359" t="str">
        <f>HYPERLINK("https://www.reddit.com/r/RMTK/comments/a9e3yl/m0014_motie_betreffende_proactieve_maatregelen/","Motie betreffende pro-actieve maatregelen, tot betrekking op concentratiekampen in China")</f>
        <v>Motie betreffende pro-actieve maatregelen, tot betrekking op concentratiekampen in China</v>
      </c>
      <c r="F16" s="351"/>
      <c r="G16" s="356" t="s">
        <v>166</v>
      </c>
      <c r="H16" s="353"/>
      <c r="I16" s="252" t="s">
        <v>183</v>
      </c>
      <c r="J16" s="362" t="s">
        <v>180</v>
      </c>
      <c r="K16" s="353"/>
      <c r="L16" s="354" t="s">
        <v>61</v>
      </c>
    </row>
    <row r="17" ht="17.25" customHeight="1">
      <c r="B17" s="348" t="s">
        <v>194</v>
      </c>
      <c r="C17" s="358" t="s">
        <v>169</v>
      </c>
      <c r="D17" s="365" t="s">
        <v>195</v>
      </c>
      <c r="E17" s="359" t="str">
        <f>HYPERLINK("https://www.reddit.com/r/RMTK/comments/abmvb8/m0015_motie_tot_nederlandse_antarctische_claim/","Motie tot Nederlandse Antarctische claim ten behoefte van vreedzame economische exploitatie ")</f>
        <v>Motie tot Nederlandse Antarctische claim ten behoefte van vreedzame economische exploitatie </v>
      </c>
      <c r="F17" s="351"/>
      <c r="G17" s="360" t="s">
        <v>170</v>
      </c>
      <c r="H17" s="353"/>
      <c r="I17" s="252" t="s">
        <v>183</v>
      </c>
      <c r="J17" s="352" t="s">
        <v>118</v>
      </c>
      <c r="K17" s="353"/>
      <c r="L17" s="354" t="s">
        <v>61</v>
      </c>
    </row>
    <row r="18" ht="17.25" customHeight="1">
      <c r="B18" s="348" t="s">
        <v>196</v>
      </c>
      <c r="C18" s="349" t="s">
        <v>161</v>
      </c>
      <c r="D18" s="349" t="s">
        <v>197</v>
      </c>
      <c r="E18" s="359" t="str">
        <f>HYPERLINK("https://www.reddit.com/r/RMTK/comments/acgtkp/m0016_motie_tot_het_veranderen_van_het/","Motie tot het veranderen van het inburgeringsproces")</f>
        <v>Motie tot het veranderen van het inburgeringsproces</v>
      </c>
      <c r="F18" s="351"/>
      <c r="G18" s="356" t="s">
        <v>166</v>
      </c>
      <c r="H18" s="353"/>
      <c r="I18" s="252" t="s">
        <v>198</v>
      </c>
      <c r="J18" s="357" t="str">
        <f>hyperlink("https://old.reddit.com/r/RMTK/comments/asr47d/ks0008_kamerbrief_ter_reactie_op_m0016_over_het/?","Ja")</f>
        <v>Ja</v>
      </c>
      <c r="K18" s="353"/>
      <c r="L18" s="354" t="s">
        <v>61</v>
      </c>
    </row>
    <row r="19" ht="17.25" customHeight="1">
      <c r="B19" s="348" t="s">
        <v>199</v>
      </c>
      <c r="C19" s="366" t="s">
        <v>200</v>
      </c>
      <c r="D19" s="366" t="s">
        <v>201</v>
      </c>
      <c r="E19" s="359" t="str">
        <f>HYPERLINK("https://reddit.com/r/RMTK/comments/adl4nh/m0017_motie_tot_aanpassing_beleid_vreugdevuren/","Motie tot aanpassing beleid vreugdevuren")</f>
        <v>Motie tot aanpassing beleid vreugdevuren</v>
      </c>
      <c r="F19" s="351"/>
      <c r="G19" s="356" t="s">
        <v>166</v>
      </c>
      <c r="H19" s="353"/>
      <c r="I19" s="252" t="s">
        <v>198</v>
      </c>
      <c r="J19" s="362" t="s">
        <v>180</v>
      </c>
      <c r="K19" s="353"/>
      <c r="L19" s="354" t="s">
        <v>61</v>
      </c>
    </row>
    <row r="20" ht="17.25" customHeight="1">
      <c r="B20" s="348" t="s">
        <v>202</v>
      </c>
      <c r="C20" s="349" t="s">
        <v>161</v>
      </c>
      <c r="D20" s="349" t="s">
        <v>197</v>
      </c>
      <c r="E20" s="359" t="str">
        <f>HYPERLINK("https://reddit.com/r/RMTK/comments/ae7cyz/m0018_motie_tot_duidelijkheid_over_lelystad/","Motie tot duidelijkheid over Lelystad Airport")</f>
        <v>Motie tot duidelijkheid over Lelystad Airport</v>
      </c>
      <c r="F20" s="351"/>
      <c r="G20" s="360" t="s">
        <v>170</v>
      </c>
      <c r="H20" s="367"/>
      <c r="I20" s="368" t="s">
        <v>203</v>
      </c>
      <c r="J20" s="352" t="s">
        <v>118</v>
      </c>
      <c r="K20" s="353"/>
      <c r="L20" s="354" t="s">
        <v>61</v>
      </c>
    </row>
    <row r="21" ht="17.25" customHeight="1">
      <c r="B21" s="348" t="s">
        <v>204</v>
      </c>
      <c r="C21" s="358" t="s">
        <v>169</v>
      </c>
      <c r="D21" s="358" t="s">
        <v>101</v>
      </c>
      <c r="E21" s="359" t="str">
        <f>HYPERLINK("https://old.reddit.com/r/RMTK/comments/aeu8iv/m0019_motie_tot_het_invoeren_van_permanente/","Motie tot het invoeren van permanente wintertijd")</f>
        <v>Motie tot het invoeren van permanente wintertijd</v>
      </c>
      <c r="F21" s="351"/>
      <c r="G21" s="356" t="s">
        <v>166</v>
      </c>
      <c r="H21" s="367"/>
      <c r="I21" s="368" t="s">
        <v>203</v>
      </c>
      <c r="J21" s="357" t="str">
        <f>hyperlink("https://old.reddit.com/r/RMTK/comments/auo7wa/ks0010_kamerbrief_aangaande_adopteren_wintertijd/?","Ja")</f>
        <v>Ja</v>
      </c>
      <c r="K21" s="353"/>
      <c r="L21" s="354" t="s">
        <v>61</v>
      </c>
    </row>
    <row r="22" ht="17.25" customHeight="1">
      <c r="B22" s="348" t="s">
        <v>205</v>
      </c>
      <c r="C22" s="349" t="s">
        <v>161</v>
      </c>
      <c r="D22" s="349" t="s">
        <v>206</v>
      </c>
      <c r="E22" s="359" t="str">
        <f>HYPERLINK("https://www.reddit.com/r/RMTK/comments/aipqmi/m0020_motie_tot_het_aanleggen_van_een/","Motie tot het aanleggen van een spoorverbinding tussen Noord-Holland en Friesland")</f>
        <v>Motie tot het aanleggen van een spoorverbinding tussen Noord-Holland en Friesland</v>
      </c>
      <c r="F22" s="351"/>
      <c r="G22" s="356" t="s">
        <v>166</v>
      </c>
      <c r="H22" s="353"/>
      <c r="I22" s="369" t="s">
        <v>188</v>
      </c>
      <c r="J22" s="362" t="s">
        <v>180</v>
      </c>
      <c r="K22" s="353"/>
      <c r="L22" s="354" t="s">
        <v>61</v>
      </c>
    </row>
    <row r="23" ht="17.25" customHeight="1">
      <c r="B23" s="348" t="s">
        <v>207</v>
      </c>
      <c r="C23" s="364" t="s">
        <v>31</v>
      </c>
      <c r="D23" s="364" t="s">
        <v>16</v>
      </c>
      <c r="E23" s="359" t="str">
        <f>HYPERLINK("https://www.reddit.com/r/RMTK/comments/aiq3cp/m0021_motie_tot_het_sluiten_van_een/","Motie tot het sluiten van een handelsovereenkomst met het Verenigd Koninkrijk")</f>
        <v>Motie tot het sluiten van een handelsovereenkomst met het Verenigd Koninkrijk</v>
      </c>
      <c r="F23" s="351"/>
      <c r="G23" s="360" t="s">
        <v>170</v>
      </c>
      <c r="H23" s="353"/>
      <c r="I23" s="369" t="s">
        <v>183</v>
      </c>
      <c r="J23" s="352" t="s">
        <v>118</v>
      </c>
      <c r="K23" s="353"/>
      <c r="L23" s="354" t="s">
        <v>61</v>
      </c>
    </row>
    <row r="24" ht="7.5" customHeight="1">
      <c r="A24" s="370"/>
      <c r="B24" s="370"/>
      <c r="C24" s="371"/>
      <c r="D24" s="371"/>
      <c r="E24" s="372"/>
      <c r="F24" s="373"/>
      <c r="G24" s="374"/>
      <c r="H24" s="375"/>
      <c r="I24" s="374"/>
      <c r="J24" s="370"/>
      <c r="K24" s="375"/>
      <c r="L24" s="370"/>
    </row>
    <row r="25" ht="17.25" customHeight="1">
      <c r="A25" s="347" t="s">
        <v>208</v>
      </c>
      <c r="B25" s="348" t="s">
        <v>209</v>
      </c>
      <c r="C25" s="358" t="s">
        <v>169</v>
      </c>
      <c r="D25" s="358" t="s">
        <v>101</v>
      </c>
      <c r="E25" s="359" t="str">
        <f>HYPERLINK("https://www.reddit.com/r/RMTK/comments/aj2ow8/m0022_motie_om_juan_guair%C3%B3_te_rekennen_als/","Motie om Juan Guairó te rekennen als president van Venezuela")</f>
        <v>Motie om Juan Guairó te rekennen als president van Venezuela</v>
      </c>
      <c r="F25" s="351"/>
      <c r="G25" s="356" t="s">
        <v>166</v>
      </c>
      <c r="H25" s="353"/>
      <c r="I25" s="369" t="s">
        <v>183</v>
      </c>
      <c r="J25" s="376" t="str">
        <f>HYPERLINK("https://old.reddit.com/r/RMTK/comments/akq527/ks0005_kamerbrief_aangaande_de_situatie_in/?","Ja")</f>
        <v>Ja</v>
      </c>
      <c r="K25" s="353"/>
      <c r="L25" s="354" t="s">
        <v>61</v>
      </c>
    </row>
    <row r="26" ht="17.25" customHeight="1">
      <c r="B26" s="348" t="s">
        <v>210</v>
      </c>
      <c r="C26" s="364" t="s">
        <v>31</v>
      </c>
      <c r="D26" s="364" t="s">
        <v>111</v>
      </c>
      <c r="E26" s="359" t="str">
        <f>HYPERLINK("https://www.reddit.com/r/RMTK/comments/ajf9vj/m0023_motie_tot_bescherming_van_casual_friday/","Motie tot bescherming van 'Casual Friday' ")</f>
        <v>Motie tot bescherming van 'Casual Friday' </v>
      </c>
      <c r="F26" s="351"/>
      <c r="G26" s="360" t="s">
        <v>170</v>
      </c>
      <c r="H26" s="353"/>
      <c r="I26" s="252" t="s">
        <v>173</v>
      </c>
      <c r="J26" s="352" t="s">
        <v>118</v>
      </c>
      <c r="K26" s="353"/>
      <c r="L26" s="354" t="s">
        <v>61</v>
      </c>
    </row>
    <row r="27" ht="17.25" customHeight="1">
      <c r="B27" s="348" t="s">
        <v>211</v>
      </c>
      <c r="C27" s="358" t="s">
        <v>169</v>
      </c>
      <c r="D27" s="358" t="s">
        <v>101</v>
      </c>
      <c r="E27" s="359" t="str">
        <f>HYPERLINK("https://www.reddit.com/r/RMTK/comments/ajfndl/m0024_motie_over_contant_geld_bij_gemeentes/","Motie over contant geld bij gemeentes")</f>
        <v>Motie over contant geld bij gemeentes</v>
      </c>
      <c r="F27" s="351"/>
      <c r="G27" s="356" t="s">
        <v>166</v>
      </c>
      <c r="H27" s="353"/>
      <c r="I27" s="252" t="s">
        <v>212</v>
      </c>
      <c r="J27" s="362" t="s">
        <v>180</v>
      </c>
      <c r="K27" s="353"/>
      <c r="L27" s="354" t="s">
        <v>61</v>
      </c>
    </row>
    <row r="28" ht="17.25" customHeight="1">
      <c r="B28" s="348" t="s">
        <v>213</v>
      </c>
      <c r="C28" s="377" t="s">
        <v>214</v>
      </c>
      <c r="D28" s="377" t="s">
        <v>109</v>
      </c>
      <c r="E28" s="378" t="str">
        <f>HYPERLINK("https://old.reddit.com/r/RMTK/comments/akqcw6/m0025_motie_om_f%C3%A9lix_tshisekedi_niet_als/","Motie om Félix Tshisekedi niet als president van Congo te erkennen")</f>
        <v>Motie om Félix Tshisekedi niet als president van Congo te erkennen</v>
      </c>
      <c r="F28" s="351"/>
      <c r="G28" s="356" t="s">
        <v>166</v>
      </c>
      <c r="H28" s="353"/>
      <c r="I28" s="252" t="s">
        <v>183</v>
      </c>
      <c r="J28" s="376" t="str">
        <f>HYPERLINK("https://old.reddit.com/r/RMTK/comments/as0atq/ks0007_kamerbrief_aangaande_erkenning_van_een/","Ja")</f>
        <v>Ja</v>
      </c>
      <c r="K28" s="353"/>
      <c r="L28" s="354" t="s">
        <v>61</v>
      </c>
    </row>
    <row r="29" ht="17.25" customHeight="1">
      <c r="B29" s="348" t="s">
        <v>215</v>
      </c>
      <c r="C29" s="358" t="s">
        <v>169</v>
      </c>
      <c r="D29" s="358" t="s">
        <v>101</v>
      </c>
      <c r="E29" s="378" t="str">
        <f>HYPERLINK("https://old.reddit.com/r/RMTK/comments/al2x7m/m0026_motie_om_het_kinderopvangstelsel/?","Motie om het kinderopvangstelsel eenvoudiger te maken")</f>
        <v>Motie om het kinderopvangstelsel eenvoudiger te maken</v>
      </c>
      <c r="F29" s="351"/>
      <c r="G29" s="356" t="s">
        <v>166</v>
      </c>
      <c r="H29" s="353"/>
      <c r="I29" s="252" t="s">
        <v>216</v>
      </c>
      <c r="J29" s="362" t="s">
        <v>180</v>
      </c>
      <c r="K29" s="353"/>
      <c r="L29" s="354" t="s">
        <v>61</v>
      </c>
    </row>
    <row r="30" ht="17.25" customHeight="1">
      <c r="B30" s="348" t="s">
        <v>217</v>
      </c>
      <c r="C30" s="364" t="s">
        <v>31</v>
      </c>
      <c r="D30" s="364" t="s">
        <v>32</v>
      </c>
      <c r="E30" s="379" t="str">
        <f>HYPERLINK("https://old.reddit.com/r/RMTK/comments/aleh5w/m0027_motie_van_afkeuring_jegens_de_minister_fez/?","Motie van afkeuring jegens de minister FEZ")</f>
        <v>Motie van afkeuring jegens de minister FEZ</v>
      </c>
      <c r="F30" s="351"/>
      <c r="G30" s="360" t="s">
        <v>170</v>
      </c>
      <c r="H30" s="353"/>
      <c r="I30" s="252" t="s">
        <v>218</v>
      </c>
      <c r="J30" s="352" t="s">
        <v>118</v>
      </c>
      <c r="K30" s="353"/>
      <c r="L30" s="354" t="s">
        <v>61</v>
      </c>
    </row>
    <row r="31" ht="17.25" customHeight="1">
      <c r="B31" s="348" t="s">
        <v>219</v>
      </c>
      <c r="C31" s="380" t="s">
        <v>220</v>
      </c>
      <c r="D31" s="380" t="s">
        <v>172</v>
      </c>
      <c r="E31" s="363" t="str">
        <f>hyperlink("https://old.reddit.com/r/RMTK/comments/alfjq1/m0028_motie_tot_het_veranderen_van_cultuur_rondom/?","Motie tot het veranderen van cultuur rondom het beschermen van privégegevens binnen de organisatie van de Kamer van Koophandel")</f>
        <v>Motie tot het veranderen van cultuur rondom het beschermen van privégegevens binnen de organisatie van de Kamer van Koophandel</v>
      </c>
      <c r="F31" s="351"/>
      <c r="G31" s="356" t="s">
        <v>166</v>
      </c>
      <c r="H31" s="353"/>
      <c r="I31" s="252" t="s">
        <v>221</v>
      </c>
      <c r="J31" s="362" t="s">
        <v>180</v>
      </c>
      <c r="K31" s="353"/>
      <c r="L31" s="354" t="s">
        <v>61</v>
      </c>
    </row>
    <row r="32" ht="17.25" customHeight="1">
      <c r="B32" s="348" t="s">
        <v>222</v>
      </c>
      <c r="C32" s="358" t="s">
        <v>169</v>
      </c>
      <c r="D32" s="358" t="s">
        <v>101</v>
      </c>
      <c r="E32" s="363" t="str">
        <f>hyperlink("https://old.reddit.com/r/RMTK/comments/alrx3g/m0029_motie_over_maatregelen_tegen/","Motie over maatregelen tegen kilometertellerfraude")</f>
        <v>Motie over maatregelen tegen kilometertellerfraude</v>
      </c>
      <c r="F32" s="351"/>
      <c r="G32" s="356" t="s">
        <v>166</v>
      </c>
      <c r="H32" s="353"/>
      <c r="I32" s="252" t="s">
        <v>186</v>
      </c>
      <c r="J32" s="362" t="s">
        <v>180</v>
      </c>
      <c r="K32" s="353"/>
      <c r="L32" s="354" t="s">
        <v>61</v>
      </c>
    </row>
    <row r="33" ht="17.25" customHeight="1">
      <c r="B33" s="348" t="s">
        <v>223</v>
      </c>
      <c r="C33" s="364" t="s">
        <v>31</v>
      </c>
      <c r="D33" s="364" t="s">
        <v>32</v>
      </c>
      <c r="E33" s="363" t="str">
        <f>hyperlink("https://old.reddit.com/r/RMTK/comments/alskg2/m0030_motie_aangaande_vermogensaanwasdeling/","Motie aangaande vermogensaanwasdeling")</f>
        <v>Motie aangaande vermogensaanwasdeling</v>
      </c>
      <c r="F33" s="351"/>
      <c r="G33" s="360" t="s">
        <v>170</v>
      </c>
      <c r="H33" s="353"/>
      <c r="I33" s="252" t="s">
        <v>224</v>
      </c>
      <c r="J33" s="352" t="s">
        <v>118</v>
      </c>
      <c r="K33" s="353"/>
      <c r="L33" s="354" t="s">
        <v>61</v>
      </c>
    </row>
    <row r="34" ht="17.25" customHeight="1">
      <c r="B34" s="348" t="s">
        <v>225</v>
      </c>
      <c r="C34" s="380" t="s">
        <v>220</v>
      </c>
      <c r="D34" s="380" t="s">
        <v>176</v>
      </c>
      <c r="E34" s="363" t="str">
        <f>HYPERLINK("https://www.reddit.com/r/RMTK/comments/an3yg1/m0031_motie_tot_versnelling_van_goedkeuring/","Motie tot versnelling goedkeuring kweekvleesproducten")</f>
        <v>Motie tot versnelling goedkeuring kweekvleesproducten</v>
      </c>
      <c r="F34" s="351"/>
      <c r="G34" s="381" t="s">
        <v>170</v>
      </c>
      <c r="H34" s="353"/>
      <c r="I34" s="252" t="s">
        <v>224</v>
      </c>
      <c r="J34" s="352" t="s">
        <v>118</v>
      </c>
      <c r="K34" s="353"/>
      <c r="L34" s="354" t="s">
        <v>61</v>
      </c>
    </row>
    <row r="35" ht="17.25" customHeight="1">
      <c r="B35" s="348" t="s">
        <v>226</v>
      </c>
      <c r="C35" s="364" t="s">
        <v>31</v>
      </c>
      <c r="D35" s="364" t="s">
        <v>16</v>
      </c>
      <c r="E35" s="363" t="str">
        <f>HYPERLINK("https://www.reddit.com/r/RMTK/comments/an4pf6/m0032_motie_uitleg_over_suikertaks/?","Motie Uitleg over Suikertaks")</f>
        <v>Motie Uitleg over Suikertaks</v>
      </c>
      <c r="F35" s="351"/>
      <c r="G35" s="381" t="s">
        <v>170</v>
      </c>
      <c r="H35" s="353"/>
      <c r="I35" s="252" t="s">
        <v>218</v>
      </c>
      <c r="J35" s="352" t="s">
        <v>118</v>
      </c>
      <c r="K35" s="353"/>
      <c r="L35" s="354" t="s">
        <v>61</v>
      </c>
    </row>
    <row r="36" ht="17.25" customHeight="1">
      <c r="B36" s="348" t="s">
        <v>227</v>
      </c>
      <c r="C36" s="382" t="s">
        <v>228</v>
      </c>
      <c r="D36" s="382" t="s">
        <v>229</v>
      </c>
      <c r="E36" s="363" t="str">
        <f>hyperlink("https://old.reddit.com/r/RMTK/comments/ansc9j/m0033_motie_tot_de_verstrekking_van_gratis_bier/","Motie tot de verstrekking van gratis bier")</f>
        <v>Motie tot de verstrekking van gratis bier</v>
      </c>
      <c r="F36" s="351"/>
      <c r="G36" s="381" t="s">
        <v>170</v>
      </c>
      <c r="H36" s="353"/>
      <c r="I36" s="252" t="s">
        <v>173</v>
      </c>
      <c r="J36" s="352" t="s">
        <v>118</v>
      </c>
      <c r="K36" s="353"/>
      <c r="L36" s="354" t="s">
        <v>61</v>
      </c>
    </row>
    <row r="37" ht="17.25" customHeight="1">
      <c r="B37" s="348" t="s">
        <v>230</v>
      </c>
      <c r="C37" s="364" t="s">
        <v>31</v>
      </c>
      <c r="D37" s="364" t="s">
        <v>16</v>
      </c>
      <c r="E37" s="363" t="str">
        <f>hyperlink("https://old.reddit.com/r/RMTK/comments/ao8cgj/m0034_motie_steun_van_navo_en_vs_aan_abceilanden/","Motie Steun van NAVO en VS aan ABC-Eilanden")</f>
        <v>Motie Steun van NAVO en VS aan ABC-Eilanden</v>
      </c>
      <c r="F37" s="351"/>
      <c r="G37" s="381" t="s">
        <v>170</v>
      </c>
      <c r="H37" s="353"/>
      <c r="I37" s="252" t="s">
        <v>221</v>
      </c>
      <c r="J37" s="352" t="s">
        <v>118</v>
      </c>
      <c r="K37" s="353"/>
      <c r="L37" s="354" t="s">
        <v>61</v>
      </c>
    </row>
    <row r="38" ht="17.25" customHeight="1">
      <c r="B38" s="348" t="s">
        <v>231</v>
      </c>
      <c r="C38" s="364" t="s">
        <v>31</v>
      </c>
      <c r="D38" s="364" t="s">
        <v>16</v>
      </c>
      <c r="E38" s="383" t="str">
        <f>hyperlink("https://old.reddit.com/r/RMTK/comments/apk0kw/m0035_motie_van_afkuring_jegens_de_minister_van/?","Motie van afkeuring jegens de Minister van BZKD")</f>
        <v>Motie van afkeuring jegens de Minister van BZKD</v>
      </c>
      <c r="F38" s="351"/>
      <c r="G38" s="381" t="s">
        <v>170</v>
      </c>
      <c r="H38" s="353"/>
      <c r="I38" s="252" t="s">
        <v>221</v>
      </c>
      <c r="J38" s="352" t="s">
        <v>118</v>
      </c>
      <c r="K38" s="353"/>
      <c r="L38" s="354" t="s">
        <v>61</v>
      </c>
    </row>
    <row r="39" ht="17.25" customHeight="1">
      <c r="B39" s="348" t="s">
        <v>232</v>
      </c>
      <c r="C39" s="364" t="s">
        <v>31</v>
      </c>
      <c r="D39" s="364" t="s">
        <v>32</v>
      </c>
      <c r="E39" s="359" t="str">
        <f>HYPERLINK("https://www.reddit.com/r/RMTK/comments/aqngvk/m0036_motie_onderzoek_voedselkwaliteit/","Motie onderzoek voedselkwaliteit Oldeholtpade")</f>
        <v>Motie onderzoek voedselkwaliteit Oldeholtpade</v>
      </c>
      <c r="F39" s="351"/>
      <c r="G39" s="381" t="s">
        <v>170</v>
      </c>
      <c r="H39" s="353"/>
      <c r="I39" s="252" t="s">
        <v>224</v>
      </c>
      <c r="J39" s="352" t="s">
        <v>118</v>
      </c>
      <c r="K39" s="353"/>
      <c r="L39" s="354" t="s">
        <v>61</v>
      </c>
    </row>
    <row r="40" ht="17.25" customHeight="1">
      <c r="B40" s="348" t="s">
        <v>233</v>
      </c>
      <c r="C40" s="384" t="s">
        <v>234</v>
      </c>
      <c r="D40" s="384" t="s">
        <v>235</v>
      </c>
      <c r="E40" s="359" t="str">
        <f>HYPERLINK("https://www.reddit.com/r/RMTK/comments/aqnnru/m0037_motie_tot_droogleggen_van_het_markermeer/","Motie tot droogleggen van het Markermeer")</f>
        <v>Motie tot droogleggen van het Markermeer</v>
      </c>
      <c r="F40" s="351"/>
      <c r="G40" s="381" t="s">
        <v>170</v>
      </c>
      <c r="H40" s="353"/>
      <c r="I40" s="252" t="s">
        <v>236</v>
      </c>
      <c r="J40" s="352" t="s">
        <v>118</v>
      </c>
      <c r="K40" s="353"/>
      <c r="L40" s="354" t="s">
        <v>61</v>
      </c>
    </row>
    <row r="41" ht="17.25" customHeight="1">
      <c r="B41" s="348" t="s">
        <v>237</v>
      </c>
      <c r="C41" s="364" t="s">
        <v>31</v>
      </c>
      <c r="D41" s="364" t="s">
        <v>16</v>
      </c>
      <c r="E41" s="363" t="str">
        <f>hyperlink("https://old.reddit.com/r/RMTK/comments/asennu/m0038_motie_verduidelijking_scheiden_van/","Motie Verduidelijking Scheiden van Verpakkingsmateriaal")</f>
        <v>Motie Verduidelijking Scheiden van Verpakkingsmateriaal</v>
      </c>
      <c r="F41" s="351"/>
      <c r="G41" s="356" t="s">
        <v>166</v>
      </c>
      <c r="H41" s="353"/>
      <c r="I41" s="252" t="s">
        <v>236</v>
      </c>
      <c r="J41" s="376" t="str">
        <f>HYPERLINK("https://old.reddit.com/r/RMTK/comments/axyq3e/w0013_wet_aanduiding_vervaardiging/?","Ja")</f>
        <v>Ja</v>
      </c>
      <c r="K41" s="353"/>
      <c r="L41" s="354" t="s">
        <v>61</v>
      </c>
    </row>
    <row r="42" ht="17.25" customHeight="1">
      <c r="B42" s="348" t="s">
        <v>238</v>
      </c>
      <c r="C42" s="384" t="s">
        <v>234</v>
      </c>
      <c r="D42" s="384" t="s">
        <v>235</v>
      </c>
      <c r="E42" s="359" t="str">
        <f>HYPERLINK("https://www.reddit.com/r/RMTK/comments/av3xoy/m0039_motie_tot_weghalen_discretionaire/","Motie tot weghalen discretionaire bevoegdheid bij Minister/Staatssecretaris van Asielzaken")</f>
        <v>Motie tot weghalen discretionaire bevoegdheid bij Minister/Staatssecretaris van Asielzaken</v>
      </c>
      <c r="F42" s="351"/>
      <c r="G42" s="356" t="s">
        <v>166</v>
      </c>
      <c r="H42" s="353"/>
      <c r="I42" s="252" t="s">
        <v>221</v>
      </c>
      <c r="J42" s="362" t="s">
        <v>180</v>
      </c>
      <c r="K42" s="353"/>
      <c r="L42" s="354" t="s">
        <v>61</v>
      </c>
    </row>
    <row r="43" ht="17.25" customHeight="1">
      <c r="B43" s="348" t="s">
        <v>239</v>
      </c>
      <c r="C43" s="377" t="s">
        <v>214</v>
      </c>
      <c r="D43" s="377" t="s">
        <v>109</v>
      </c>
      <c r="E43" s="363" t="str">
        <f>hyperlink("https://old.reddit.com/r/RMTK/comments/axlw0k/m0040_motie_tot_gratis_toegang_rijksmuseum/?","Motie tot gratis toegang Rijksmuseum")</f>
        <v>Motie tot gratis toegang Rijksmuseum</v>
      </c>
      <c r="F43" s="351"/>
      <c r="G43" s="356" t="s">
        <v>166</v>
      </c>
      <c r="H43" s="353"/>
      <c r="I43" s="252" t="s">
        <v>216</v>
      </c>
      <c r="J43" s="385" t="str">
        <f>HYPERLINK("https://www.reddit.com/r/RMTK/comments/bmn749/ks0017_brief_inzake_gratis_toegang_rijksmusea/","Ja")</f>
        <v>Ja</v>
      </c>
      <c r="K43" s="353"/>
      <c r="L43" s="354" t="s">
        <v>61</v>
      </c>
    </row>
    <row r="44" ht="17.25" customHeight="1">
      <c r="B44" s="348" t="s">
        <v>240</v>
      </c>
      <c r="C44" s="364" t="s">
        <v>31</v>
      </c>
      <c r="D44" s="364" t="s">
        <v>32</v>
      </c>
      <c r="E44" s="363" t="str">
        <f>hyperlink("https://www.reddit.com/r/RMTK/comments/ay3ege/m0041_motie_inzake_het_verdrag_inzake_de_rechten/?","Motie inzake het verdrag inzake de rechten van het kind")</f>
        <v>Motie inzake het verdrag inzake de rechten van het kind</v>
      </c>
      <c r="F44" s="351"/>
      <c r="G44" s="381" t="s">
        <v>170</v>
      </c>
      <c r="H44" s="353"/>
      <c r="I44" s="252" t="s">
        <v>183</v>
      </c>
      <c r="J44" s="352" t="s">
        <v>118</v>
      </c>
      <c r="K44" s="353"/>
      <c r="L44" s="354" t="s">
        <v>61</v>
      </c>
    </row>
    <row r="45" ht="7.5" customHeight="1">
      <c r="A45" s="370"/>
      <c r="B45" s="370"/>
      <c r="C45" s="371"/>
      <c r="D45" s="371"/>
      <c r="E45" s="372"/>
      <c r="F45" s="373"/>
      <c r="G45" s="374"/>
      <c r="H45" s="375"/>
      <c r="I45" s="374"/>
      <c r="J45" s="370"/>
      <c r="K45" s="375"/>
      <c r="L45" s="370"/>
    </row>
    <row r="46" ht="17.25" customHeight="1">
      <c r="A46" s="347" t="s">
        <v>241</v>
      </c>
      <c r="B46" s="348" t="s">
        <v>242</v>
      </c>
      <c r="C46" s="386" t="s">
        <v>243</v>
      </c>
      <c r="D46" s="386" t="s">
        <v>244</v>
      </c>
      <c r="E46" s="363" t="str">
        <f>hyperlink("https://old.reddit.com/r/RMTK/comments/bbofie/m0042_motie_tot_verwerping_artikel_11_en_13_op/?","Motie tot verwerping Artikel 11 en 13 op Europees niveau")</f>
        <v>Motie tot verwerping Artikel 11 en 13 op Europees niveau</v>
      </c>
      <c r="F46" s="351"/>
      <c r="G46" s="352" t="s">
        <v>163</v>
      </c>
      <c r="H46" s="353"/>
      <c r="I46" s="252" t="s">
        <v>183</v>
      </c>
      <c r="J46" s="352" t="s">
        <v>118</v>
      </c>
      <c r="K46" s="353"/>
      <c r="L46" s="354" t="s">
        <v>61</v>
      </c>
    </row>
    <row r="47" ht="17.25" customHeight="1">
      <c r="B47" s="348" t="s">
        <v>245</v>
      </c>
      <c r="C47" s="387" t="s">
        <v>246</v>
      </c>
      <c r="D47" s="388" t="s">
        <v>172</v>
      </c>
      <c r="E47" s="359" t="str">
        <f>HYPERLINK("https://www.reddit.com/r/RMTK/comments/bdjnhg/m0043_motie_tot_verbreiding_van_vrijheid_en_geloof/","Motie tot verbreiding van vrijheid en geloof")</f>
        <v>Motie tot verbreiding van vrijheid en geloof</v>
      </c>
      <c r="F47" s="351"/>
      <c r="G47" s="381" t="s">
        <v>170</v>
      </c>
      <c r="H47" s="353"/>
      <c r="I47" s="252" t="s">
        <v>247</v>
      </c>
      <c r="J47" s="352" t="s">
        <v>118</v>
      </c>
      <c r="K47" s="353"/>
      <c r="L47" s="354" t="s">
        <v>61</v>
      </c>
    </row>
    <row r="48" ht="17.25" customHeight="1">
      <c r="B48" s="348" t="s">
        <v>248</v>
      </c>
      <c r="C48" s="386" t="s">
        <v>243</v>
      </c>
      <c r="D48" s="386" t="s">
        <v>249</v>
      </c>
      <c r="E48" s="363" t="str">
        <f>hyperlink("https://old.reddit.com/r/RMTK/comments/bdvyaj/m0044_motie_tot_beperking_ontbossing_in_nederland/","Motie tot beperking ontbossing in Nederland")</f>
        <v>Motie tot beperking ontbossing in Nederland</v>
      </c>
      <c r="F48" s="351"/>
      <c r="G48" s="356" t="s">
        <v>166</v>
      </c>
      <c r="H48" s="353"/>
      <c r="I48" s="252" t="s">
        <v>250</v>
      </c>
      <c r="J48" s="362" t="s">
        <v>180</v>
      </c>
      <c r="K48" s="353"/>
      <c r="L48" s="354" t="s">
        <v>61</v>
      </c>
    </row>
    <row r="49" ht="17.25" customHeight="1">
      <c r="B49" s="348" t="s">
        <v>251</v>
      </c>
      <c r="C49" s="386" t="s">
        <v>243</v>
      </c>
      <c r="D49" s="386" t="s">
        <v>252</v>
      </c>
      <c r="E49" s="363" t="str">
        <f>hyperlink("https://old.reddit.com/r/RMTK/comments/beaf0d/m0045_motie_tot_vermindering_alcoholisme_in/?","Motie tot vermindering alcoholisme in Nederland")</f>
        <v>Motie tot vermindering alcoholisme in Nederland</v>
      </c>
      <c r="F49" s="351"/>
      <c r="G49" s="356" t="s">
        <v>166</v>
      </c>
      <c r="H49" s="353"/>
      <c r="I49" s="252" t="s">
        <v>253</v>
      </c>
      <c r="J49" s="362" t="s">
        <v>180</v>
      </c>
      <c r="K49" s="353"/>
      <c r="L49" s="354" t="s">
        <v>61</v>
      </c>
    </row>
    <row r="50" ht="17.25" customHeight="1">
      <c r="B50" s="348" t="s">
        <v>254</v>
      </c>
      <c r="C50" s="389" t="s">
        <v>255</v>
      </c>
      <c r="D50" s="389" t="s">
        <v>235</v>
      </c>
      <c r="E50" s="359" t="str">
        <f>HYPERLINK("https://www.reddit.com/r/RMTK/comments/beo0o2/m0046_motie_tot_structurele_financieringsregeling/","Motie tot structurele financieringsregeling tegen drugsdumpingen")</f>
        <v>Motie tot structurele financieringsregeling tegen drugsdumpingen</v>
      </c>
      <c r="F50" s="351"/>
      <c r="G50" s="381" t="s">
        <v>170</v>
      </c>
      <c r="H50" s="353"/>
      <c r="I50" s="252" t="s">
        <v>247</v>
      </c>
      <c r="J50" s="352" t="s">
        <v>118</v>
      </c>
      <c r="K50" s="353"/>
      <c r="L50" s="354" t="s">
        <v>61</v>
      </c>
    </row>
    <row r="51" ht="17.25" customHeight="1">
      <c r="B51" s="348" t="s">
        <v>256</v>
      </c>
      <c r="C51" s="386" t="s">
        <v>243</v>
      </c>
      <c r="D51" s="386" t="s">
        <v>252</v>
      </c>
      <c r="E51" s="363" t="str">
        <f>hyperlink("https://old.reddit.com/r/RMTK/comments/bgkw11/m0047_motie_tot_vergroting_budget_natuurbehoud/?","Motie tot vergroting budget natuurbehoud")</f>
        <v>Motie tot vergroting budget natuurbehoud</v>
      </c>
      <c r="F51" s="351"/>
      <c r="G51" s="356" t="s">
        <v>166</v>
      </c>
      <c r="H51" s="353"/>
      <c r="I51" s="252" t="s">
        <v>250</v>
      </c>
      <c r="J51" s="362" t="s">
        <v>180</v>
      </c>
      <c r="K51" s="353"/>
      <c r="L51" s="354" t="s">
        <v>61</v>
      </c>
    </row>
    <row r="52" ht="17.25" customHeight="1">
      <c r="B52" s="348" t="s">
        <v>257</v>
      </c>
      <c r="C52" s="390" t="s">
        <v>258</v>
      </c>
      <c r="D52" s="390" t="s">
        <v>176</v>
      </c>
      <c r="E52" s="363" t="str">
        <f>hyperlink("https://old.reddit.com/r/RMTK/comments/bgyk5e/m0048_motie_tot_het_reduceren_van_dak_en/?","Motie tot het reduceren van dak en thuislozen")</f>
        <v>Motie tot het reduceren van dak en thuislozen</v>
      </c>
      <c r="F52" s="351"/>
      <c r="G52" s="356" t="s">
        <v>166</v>
      </c>
      <c r="H52" s="353"/>
      <c r="I52" s="252" t="s">
        <v>253</v>
      </c>
      <c r="J52" s="362" t="s">
        <v>180</v>
      </c>
      <c r="K52" s="353"/>
      <c r="L52" s="354" t="s">
        <v>61</v>
      </c>
    </row>
    <row r="53" ht="17.25" customHeight="1">
      <c r="B53" s="348" t="s">
        <v>259</v>
      </c>
      <c r="C53" s="386" t="s">
        <v>243</v>
      </c>
      <c r="D53" s="386" t="s">
        <v>260</v>
      </c>
      <c r="E53" s="355" t="str">
        <f>HYPERLINK("https://www.reddit.com/r/RMTK/comments/biskko/m0049_motie_van_afkeuring_tegen_de/","Motie van Afkeuring tegen de Minister-President en het Presidium ")</f>
        <v>Motie van Afkeuring tegen de Minister-President en het Presidium </v>
      </c>
      <c r="F53" s="351"/>
      <c r="G53" s="381" t="s">
        <v>170</v>
      </c>
      <c r="H53" s="353"/>
      <c r="I53" s="252" t="s">
        <v>173</v>
      </c>
      <c r="J53" s="352" t="s">
        <v>118</v>
      </c>
      <c r="K53" s="353"/>
      <c r="L53" s="354" t="s">
        <v>61</v>
      </c>
    </row>
    <row r="54" ht="17.25" customHeight="1">
      <c r="B54" s="348" t="s">
        <v>261</v>
      </c>
      <c r="C54" s="386" t="s">
        <v>243</v>
      </c>
      <c r="D54" s="386" t="s">
        <v>262</v>
      </c>
      <c r="E54" s="359" t="str">
        <f>HYPERLINK("https://www.reddit.com/r/RMTK/comments/bjxm9b/m0050_motie_tot_de_vermindering_van_het_gebruik/","Motie tot de vermindering van het gebruik van pesticiden in Nederland")</f>
        <v>Motie tot de vermindering van het gebruik van pesticiden in Nederland</v>
      </c>
      <c r="F54" s="351"/>
      <c r="G54" s="356" t="s">
        <v>166</v>
      </c>
      <c r="H54" s="353"/>
      <c r="I54" s="252" t="s">
        <v>250</v>
      </c>
      <c r="J54" s="362" t="s">
        <v>180</v>
      </c>
      <c r="K54" s="353"/>
      <c r="L54" s="354" t="s">
        <v>61</v>
      </c>
    </row>
    <row r="55" ht="7.5" customHeight="1">
      <c r="A55" s="370"/>
      <c r="B55" s="370"/>
      <c r="C55" s="371"/>
      <c r="D55" s="371"/>
      <c r="E55" s="372"/>
      <c r="F55" s="373"/>
      <c r="G55" s="374"/>
      <c r="H55" s="375"/>
      <c r="I55" s="374"/>
      <c r="J55" s="370"/>
      <c r="K55" s="375"/>
      <c r="L55" s="370"/>
    </row>
    <row r="56" ht="17.25" customHeight="1">
      <c r="A56" s="347" t="s">
        <v>263</v>
      </c>
      <c r="B56" s="348" t="s">
        <v>264</v>
      </c>
      <c r="C56" s="389" t="s">
        <v>255</v>
      </c>
      <c r="D56" s="389" t="s">
        <v>235</v>
      </c>
      <c r="E56" s="359" t="str">
        <f>HYPERLINK("https://www.reddit.com/r/RMTK/comments/bldkk7/m0051_motie_tot_verbeteren_vaccinatiegraad/","Motie Tot Verbeteren Vaccinatiegraad")</f>
        <v>Motie Tot Verbeteren Vaccinatiegraad</v>
      </c>
      <c r="F56" s="351"/>
      <c r="G56" s="356" t="s">
        <v>166</v>
      </c>
      <c r="H56" s="353"/>
      <c r="I56" s="252" t="s">
        <v>253</v>
      </c>
      <c r="J56" s="362" t="s">
        <v>180</v>
      </c>
      <c r="K56" s="353"/>
      <c r="L56" s="354" t="s">
        <v>61</v>
      </c>
    </row>
    <row r="57" ht="17.25" customHeight="1">
      <c r="B57" s="348" t="s">
        <v>265</v>
      </c>
      <c r="C57" s="389" t="s">
        <v>255</v>
      </c>
      <c r="D57" s="389" t="s">
        <v>48</v>
      </c>
      <c r="E57" s="363" t="str">
        <f>hyperlink("https://old.reddit.com/r/RMTK/comments/bo84o0/m0052_motie_tot_uitbreiding_navo/","Motie tot uitbreiding NAVO")</f>
        <v>Motie tot uitbreiding NAVO</v>
      </c>
      <c r="F57" s="351"/>
      <c r="G57" s="381" t="s">
        <v>170</v>
      </c>
      <c r="H57" s="353"/>
      <c r="I57" s="252" t="s">
        <v>183</v>
      </c>
      <c r="J57" s="352" t="s">
        <v>118</v>
      </c>
      <c r="K57" s="353"/>
      <c r="L57" s="354" t="s">
        <v>61</v>
      </c>
    </row>
    <row r="58" ht="17.25" customHeight="1">
      <c r="B58" s="348" t="s">
        <v>266</v>
      </c>
      <c r="C58" s="364" t="s">
        <v>31</v>
      </c>
      <c r="D58" s="364" t="s">
        <v>32</v>
      </c>
      <c r="E58" s="359" t="str">
        <f>HYPERLINK("https://www.reddit.com/r/RMTK/comments/bolxzd/m0053_motie_tot_sluiting_vreewijk_lyceum/","Motie tot sluiting Vreewijk Lyceum")</f>
        <v>Motie tot sluiting Vreewijk Lyceum</v>
      </c>
      <c r="F58" s="351"/>
      <c r="G58" s="356" t="s">
        <v>166</v>
      </c>
      <c r="H58" s="353"/>
      <c r="I58" s="252" t="s">
        <v>216</v>
      </c>
      <c r="J58" s="362" t="s">
        <v>267</v>
      </c>
      <c r="K58" s="353"/>
      <c r="L58" s="354" t="s">
        <v>61</v>
      </c>
    </row>
    <row r="59" ht="17.25" customHeight="1">
      <c r="B59" s="348" t="s">
        <v>268</v>
      </c>
      <c r="C59" s="364" t="s">
        <v>31</v>
      </c>
      <c r="D59" s="364" t="s">
        <v>16</v>
      </c>
      <c r="E59" s="359" t="str">
        <f>HYPERLINK("https://www.reddit.com/r/RMTK/comments/bp1yrt/m0054_motie_tot_herziening_budgettaire_bijlage/","Motie tot herziening budgettaire bijlage regeerakkoord")</f>
        <v>Motie tot herziening budgettaire bijlage regeerakkoord</v>
      </c>
      <c r="F59" s="351"/>
      <c r="G59" s="381" t="s">
        <v>170</v>
      </c>
      <c r="H59" s="353"/>
      <c r="I59" s="252" t="s">
        <v>218</v>
      </c>
      <c r="J59" s="352" t="s">
        <v>118</v>
      </c>
      <c r="K59" s="353"/>
      <c r="L59" s="354" t="s">
        <v>61</v>
      </c>
    </row>
    <row r="60" ht="17.25" customHeight="1">
      <c r="B60" s="348" t="s">
        <v>269</v>
      </c>
      <c r="C60" s="364" t="s">
        <v>31</v>
      </c>
      <c r="D60" s="364" t="s">
        <v>111</v>
      </c>
      <c r="E60" s="359" t="str">
        <f>HYPERLINK("https://old.reddit.com/r/RMTK/comments/bpg279/m0055_motie_tot_bewaren_van_vrede_omtrent_het/?","Motie tot bewaren van vrede omtrent het Venezuelavraagstuk")</f>
        <v>Motie tot bewaren van vrede omtrent het Venezuelavraagstuk</v>
      </c>
      <c r="F60" s="351"/>
      <c r="G60" s="356" t="s">
        <v>166</v>
      </c>
      <c r="H60" s="353"/>
      <c r="I60" s="252" t="s">
        <v>183</v>
      </c>
      <c r="J60" s="362" t="s">
        <v>180</v>
      </c>
      <c r="K60" s="353"/>
      <c r="L60" s="354" t="s">
        <v>61</v>
      </c>
    </row>
    <row r="61" ht="17.25" customHeight="1">
      <c r="B61" s="348" t="s">
        <v>270</v>
      </c>
      <c r="C61" s="364" t="s">
        <v>31</v>
      </c>
      <c r="D61" s="364" t="s">
        <v>32</v>
      </c>
      <c r="E61" s="359" t="str">
        <f>HYPERLINK("https://www.reddit.com/r/RMTK/comments/bqyh4h/m0056_motie_tot_invoering_nationaal_zorgfonds/","Motie tot invoering nationaal zorgfonds")</f>
        <v>Motie tot invoering nationaal zorgfonds</v>
      </c>
      <c r="F61" s="351"/>
      <c r="G61" s="381" t="s">
        <v>170</v>
      </c>
      <c r="H61" s="353"/>
      <c r="I61" s="252" t="s">
        <v>253</v>
      </c>
      <c r="J61" s="352" t="s">
        <v>118</v>
      </c>
      <c r="K61" s="353"/>
      <c r="L61" s="354" t="s">
        <v>61</v>
      </c>
    </row>
    <row r="62" ht="17.25" customHeight="1">
      <c r="B62" s="348" t="s">
        <v>271</v>
      </c>
      <c r="C62" s="377" t="s">
        <v>214</v>
      </c>
      <c r="D62" s="377" t="s">
        <v>102</v>
      </c>
      <c r="E62" s="363" t="str">
        <f>hyperlink("https://old.reddit.com/r/RMTK/comments/bre7w0/m0057_motie_tot_erkennen_palestina_als/?","Motie tot erkennen Palestina als onafhankelijke staat")</f>
        <v>Motie tot erkennen Palestina als onafhankelijke staat</v>
      </c>
      <c r="F62" s="351"/>
      <c r="G62" s="356" t="s">
        <v>166</v>
      </c>
      <c r="H62" s="353"/>
      <c r="I62" s="252" t="s">
        <v>183</v>
      </c>
      <c r="J62" s="391" t="str">
        <f>HYPERLINK("https://www.reddit.com/r/RMTK/comments/c5tzli/kb0009_koninklijk_besluit_tot_formele_erkenning/","Ja")</f>
        <v>Ja</v>
      </c>
      <c r="K62" s="353"/>
      <c r="L62" s="354" t="s">
        <v>61</v>
      </c>
    </row>
    <row r="63" ht="17.25" customHeight="1">
      <c r="B63" s="348" t="s">
        <v>272</v>
      </c>
      <c r="C63" s="364" t="s">
        <v>31</v>
      </c>
      <c r="D63" s="364" t="s">
        <v>32</v>
      </c>
      <c r="E63" s="359" t="str">
        <f>HYPERLINK("https://www.reddit.com/r/RMTK/comments/bsdur4/m0058_motie_tot_verlaging_leeftijd_minimumloon/","Motie tot verlaging leeftijd minimumloon")</f>
        <v>Motie tot verlaging leeftijd minimumloon</v>
      </c>
      <c r="F63" s="351"/>
      <c r="G63" s="381" t="s">
        <v>170</v>
      </c>
      <c r="H63" s="353"/>
      <c r="I63" s="252" t="s">
        <v>218</v>
      </c>
      <c r="J63" s="352" t="s">
        <v>118</v>
      </c>
      <c r="K63" s="353"/>
      <c r="L63" s="354" t="s">
        <v>61</v>
      </c>
    </row>
    <row r="64" ht="17.25" customHeight="1">
      <c r="B64" s="348" t="s">
        <v>273</v>
      </c>
      <c r="C64" s="392" t="s">
        <v>274</v>
      </c>
      <c r="D64" s="392" t="s">
        <v>101</v>
      </c>
      <c r="E64" s="363" t="str">
        <f>hyperlink("https://old.reddit.com/r/RMTK/comments/btpiig/m0059_motie_tot_snelle_toezending_van/","Motie tot snelle toezending van jaarverslagen Rijksoverheid")</f>
        <v>Motie tot snelle toezending van jaarverslagen Rijksoverheid</v>
      </c>
      <c r="F64" s="351"/>
      <c r="G64" s="381" t="s">
        <v>170</v>
      </c>
      <c r="H64" s="353"/>
      <c r="I64" s="252" t="s">
        <v>173</v>
      </c>
      <c r="J64" s="352" t="s">
        <v>118</v>
      </c>
      <c r="K64" s="353"/>
      <c r="L64" s="354" t="s">
        <v>61</v>
      </c>
    </row>
    <row r="65" ht="17.25" customHeight="1">
      <c r="B65" s="348" t="s">
        <v>275</v>
      </c>
      <c r="C65" s="364" t="s">
        <v>31</v>
      </c>
      <c r="D65" s="364" t="s">
        <v>32</v>
      </c>
      <c r="E65" s="363" t="str">
        <f>hyperlink("https://old.reddit.com/r/RMTK/comments/bu3gzh/m0060_motie_tot_opheldering_van_het_standpunt_van/?","Motie tot opheldering van het standpunt van de regering over de eisen van politievakbond ACP")</f>
        <v>Motie tot opheldering van het standpunt van de regering over de eisen van politievakbond ACP</v>
      </c>
      <c r="F65" s="351"/>
      <c r="G65" s="381" t="s">
        <v>170</v>
      </c>
      <c r="H65" s="353"/>
      <c r="I65" s="252" t="s">
        <v>276</v>
      </c>
      <c r="J65" s="352" t="s">
        <v>118</v>
      </c>
      <c r="K65" s="353"/>
      <c r="L65" s="354" t="s">
        <v>61</v>
      </c>
    </row>
    <row r="66" ht="17.25" customHeight="1">
      <c r="B66" s="348" t="s">
        <v>277</v>
      </c>
      <c r="C66" s="392" t="s">
        <v>274</v>
      </c>
      <c r="D66" s="392" t="s">
        <v>101</v>
      </c>
      <c r="E66" s="359" t="str">
        <f>HYPERLINK("https://www.reddit.com/r/RMTK/comments/buj9zq/m0061_motie_tot_toezenden_gegevens_rondom/","Motie tot toezenden gegevens rondom incidenten asielzoekers")</f>
        <v>Motie tot toezenden gegevens rondom incidenten asielzoekers</v>
      </c>
      <c r="F66" s="351"/>
      <c r="G66" s="356" t="s">
        <v>166</v>
      </c>
      <c r="H66" s="353"/>
      <c r="I66" s="252" t="s">
        <v>276</v>
      </c>
      <c r="J66" s="385" t="str">
        <f>HYPERLINK("https://www.reddit.com/r/RMTK/comments/cr3zii/ks0028_kamerbrief_aangaande_gegevens_rondom/","Ja")</f>
        <v>Ja</v>
      </c>
      <c r="K66" s="353"/>
      <c r="L66" s="354" t="s">
        <v>61</v>
      </c>
    </row>
    <row r="67" ht="17.25" customHeight="1">
      <c r="B67" s="348" t="s">
        <v>278</v>
      </c>
      <c r="C67" s="390" t="s">
        <v>258</v>
      </c>
      <c r="D67" s="390" t="s">
        <v>176</v>
      </c>
      <c r="E67" s="359" t="str">
        <f>HYPERLINK("https://www.reddit.com/r/RMTK/comments/buv49l/m0062_motie_tot_reductie_uitstoot_lachgas_in_de/","Motie tot reductie uitstoot lachgas in de industrie")</f>
        <v>Motie tot reductie uitstoot lachgas in de industrie</v>
      </c>
      <c r="F67" s="351"/>
      <c r="G67" s="356" t="s">
        <v>166</v>
      </c>
      <c r="H67" s="353"/>
      <c r="I67" s="252" t="s">
        <v>279</v>
      </c>
      <c r="J67" s="362" t="s">
        <v>180</v>
      </c>
      <c r="K67" s="353"/>
      <c r="L67" s="354" t="s">
        <v>61</v>
      </c>
    </row>
    <row r="68" ht="17.25" customHeight="1">
      <c r="B68" s="348" t="s">
        <v>280</v>
      </c>
      <c r="C68" s="392" t="s">
        <v>274</v>
      </c>
      <c r="D68" s="392" t="s">
        <v>101</v>
      </c>
      <c r="E68" s="359" t="str">
        <f>HYPERLINK("https://www.reddit.com/r/RMTK/comments/buw274/m0063_motie_van_blijdschap_jegens_de_minister_van/","Motie van Blijdschap jegens de minister van OCW")</f>
        <v>Motie van Blijdschap jegens de minister van OCW</v>
      </c>
      <c r="F68" s="351"/>
      <c r="G68" s="356" t="s">
        <v>166</v>
      </c>
      <c r="H68" s="353"/>
      <c r="I68" s="252" t="s">
        <v>216</v>
      </c>
      <c r="J68" s="352" t="s">
        <v>118</v>
      </c>
      <c r="K68" s="353"/>
      <c r="L68" s="354" t="s">
        <v>61</v>
      </c>
    </row>
    <row r="69" ht="17.25" customHeight="1">
      <c r="B69" s="348" t="s">
        <v>281</v>
      </c>
      <c r="C69" s="364" t="s">
        <v>31</v>
      </c>
      <c r="D69" s="364" t="s">
        <v>282</v>
      </c>
      <c r="E69" s="359" t="str">
        <f>HYPERLINK("https://www.reddit.com/r/RMTK/comments/bwsh5f/m0064_motie_tot_versimpeling_belastingstelsel/","Motie tot versimpeling belastingstelsel")</f>
        <v>Motie tot versimpeling belastingstelsel</v>
      </c>
      <c r="F69" s="351"/>
      <c r="G69" s="381" t="s">
        <v>170</v>
      </c>
      <c r="H69" s="353"/>
      <c r="I69" s="252" t="s">
        <v>218</v>
      </c>
      <c r="J69" s="352" t="s">
        <v>118</v>
      </c>
      <c r="K69" s="353"/>
      <c r="L69" s="354" t="s">
        <v>61</v>
      </c>
    </row>
    <row r="70" ht="17.25" customHeight="1">
      <c r="B70" s="348" t="s">
        <v>283</v>
      </c>
      <c r="C70" s="364" t="s">
        <v>31</v>
      </c>
      <c r="D70" s="364" t="s">
        <v>136</v>
      </c>
      <c r="E70" s="359" t="str">
        <f>HYPERLINK("https://www.reddit.com/r/RMTK/comments/bx5ji9/m0065_motie_tot_het_heffen_van_winstbelasting/","Motie tot het heffen van winstbelasting over de winst van de Shell")</f>
        <v>Motie tot het heffen van winstbelasting over de winst van de Shell</v>
      </c>
      <c r="F70" s="351"/>
      <c r="G70" s="381" t="s">
        <v>170</v>
      </c>
      <c r="H70" s="353"/>
      <c r="I70" s="252" t="s">
        <v>218</v>
      </c>
      <c r="J70" s="352" t="s">
        <v>118</v>
      </c>
      <c r="K70" s="353"/>
      <c r="L70" s="354" t="s">
        <v>61</v>
      </c>
    </row>
    <row r="71" ht="17.25" customHeight="1">
      <c r="B71" s="348" t="s">
        <v>284</v>
      </c>
      <c r="C71" s="364" t="s">
        <v>31</v>
      </c>
      <c r="D71" s="364" t="s">
        <v>16</v>
      </c>
      <c r="E71" s="359" t="str">
        <f>HYPERLINK("https://www.reddit.com/r/RMTK/comments/bxlc67/m0066_motie_tot_onderzoek_behandelingen_kleine/","Motie tot onderzoek behandelingen kleine kwalen")</f>
        <v>Motie tot onderzoek behandelingen kleine kwalen</v>
      </c>
      <c r="F71" s="351"/>
      <c r="G71" s="356" t="s">
        <v>166</v>
      </c>
      <c r="H71" s="353"/>
      <c r="I71" s="252" t="s">
        <v>253</v>
      </c>
      <c r="J71" s="362" t="s">
        <v>180</v>
      </c>
      <c r="K71" s="353"/>
      <c r="L71" s="354" t="s">
        <v>61</v>
      </c>
    </row>
    <row r="72" ht="17.25" customHeight="1">
      <c r="B72" s="348" t="s">
        <v>285</v>
      </c>
      <c r="C72" s="364" t="s">
        <v>31</v>
      </c>
      <c r="D72" s="364" t="s">
        <v>16</v>
      </c>
      <c r="E72" s="393" t="str">
        <f>HYPERLINK("https://www.reddit.com/r/RMTK/comments/bxwrc8/m0067_motie_van_wantrouwen_jegens_de_minister_van/","Motie van Wantrouwen jegens de Minister van Rechtsstaat en Defensie")</f>
        <v>Motie van Wantrouwen jegens de Minister van Rechtsstaat en Defensie</v>
      </c>
      <c r="F72" s="351"/>
      <c r="G72" s="352" t="s">
        <v>286</v>
      </c>
      <c r="H72" s="353"/>
      <c r="I72" s="252" t="s">
        <v>276</v>
      </c>
      <c r="J72" s="352" t="s">
        <v>118</v>
      </c>
      <c r="K72" s="353"/>
      <c r="L72" s="354" t="s">
        <v>287</v>
      </c>
    </row>
    <row r="73" ht="17.25" customHeight="1">
      <c r="B73" s="348" t="s">
        <v>288</v>
      </c>
      <c r="C73" s="364" t="s">
        <v>31</v>
      </c>
      <c r="D73" s="364" t="s">
        <v>16</v>
      </c>
      <c r="E73" s="363" t="str">
        <f>hyperlink("https://old.reddit.com/r/RMTK/comments/bz0k2u/m0068_motie_tot_plan_voor_veiligheid_militairen/","Motie tot plan voor veiligheid militairen")</f>
        <v>Motie tot plan voor veiligheid militairen</v>
      </c>
      <c r="F73" s="351"/>
      <c r="G73" s="394" t="s">
        <v>166</v>
      </c>
      <c r="H73" s="353"/>
      <c r="I73" s="252" t="s">
        <v>276</v>
      </c>
      <c r="J73" s="362" t="s">
        <v>180</v>
      </c>
      <c r="K73" s="353"/>
      <c r="L73" s="354" t="s">
        <v>61</v>
      </c>
    </row>
    <row r="74" ht="17.25" customHeight="1">
      <c r="B74" s="348" t="s">
        <v>289</v>
      </c>
      <c r="C74" s="390" t="s">
        <v>258</v>
      </c>
      <c r="D74" s="390" t="s">
        <v>176</v>
      </c>
      <c r="E74" s="363" t="str">
        <f>hyperlink("https://old.reddit.com/r/RMTK/comments/bztdwa/m0069_motie_tot_verbetering_werkwijze_aanpak_en/","Motie tot verbetering werkwijze, aanpak en uitvoering UWV")</f>
        <v>Motie tot verbetering werkwijze, aanpak en uitvoering UWV</v>
      </c>
      <c r="F74" s="351"/>
      <c r="G74" s="394" t="s">
        <v>166</v>
      </c>
      <c r="H74" s="353"/>
      <c r="I74" s="252" t="s">
        <v>253</v>
      </c>
      <c r="J74" s="362" t="s">
        <v>180</v>
      </c>
      <c r="K74" s="353"/>
      <c r="L74" s="354" t="s">
        <v>61</v>
      </c>
    </row>
    <row r="75" ht="17.25" customHeight="1">
      <c r="B75" s="348" t="s">
        <v>290</v>
      </c>
      <c r="C75" s="389" t="s">
        <v>255</v>
      </c>
      <c r="D75" s="389" t="s">
        <v>48</v>
      </c>
      <c r="E75" s="363" t="str">
        <f>hyperlink("https://old.reddit.com/r/RMTK/comments/bzupg1/m0070_motie_tot_erkennen_van_taiwan_als/?","Motie tot erkennen van Taiwan als onafhankelijke staat")</f>
        <v>Motie tot erkennen van Taiwan als onafhankelijke staat</v>
      </c>
      <c r="F75" s="351"/>
      <c r="G75" s="381" t="s">
        <v>170</v>
      </c>
      <c r="H75" s="353"/>
      <c r="I75" s="252" t="s">
        <v>183</v>
      </c>
      <c r="J75" s="352" t="s">
        <v>118</v>
      </c>
      <c r="K75" s="353"/>
      <c r="L75" s="354" t="s">
        <v>61</v>
      </c>
    </row>
    <row r="76" ht="17.25" customHeight="1">
      <c r="B76" s="348" t="s">
        <v>291</v>
      </c>
      <c r="C76" s="364" t="s">
        <v>31</v>
      </c>
      <c r="D76" s="364" t="s">
        <v>32</v>
      </c>
      <c r="E76" s="395" t="str">
        <f>hyperlink("https://old.reddit.com/r/RMTK/comments/c0lk46/m0071_motie_tot_reactie_op_de_amerikaanse/?","Motie tot reactie op de Amerikaanse geloofsbrieven")</f>
        <v>Motie tot reactie op de Amerikaanse geloofsbrieven</v>
      </c>
      <c r="F76" s="351"/>
      <c r="G76" s="352" t="s">
        <v>163</v>
      </c>
      <c r="H76" s="353"/>
      <c r="I76" s="252" t="s">
        <v>292</v>
      </c>
      <c r="J76" s="352" t="s">
        <v>118</v>
      </c>
      <c r="K76" s="353"/>
      <c r="L76" s="354" t="s">
        <v>61</v>
      </c>
    </row>
    <row r="77" ht="17.25" customHeight="1">
      <c r="B77" s="348" t="s">
        <v>293</v>
      </c>
      <c r="C77" s="364" t="s">
        <v>31</v>
      </c>
      <c r="D77" s="364" t="s">
        <v>294</v>
      </c>
      <c r="E77" s="363" t="str">
        <f>hyperlink("https://reddit.com/r/RMTK/comments/c5cgq4/m0072_motie_tot_betere_bereikbaarheid_zeeland/","Motie tot betere bereikbaarheid Zeeland")</f>
        <v>Motie tot betere bereikbaarheid Zeeland</v>
      </c>
      <c r="F77" s="351"/>
      <c r="G77" s="396" t="s">
        <v>166</v>
      </c>
      <c r="H77" s="353"/>
      <c r="I77" s="252" t="s">
        <v>236</v>
      </c>
      <c r="J77" s="385" t="str">
        <f t="shared" ref="J77:J79" si="1">HYPERLINK("https://www.reddit.com/r/RMTK/comments/cn3ere/ks0025_kamerbrief_betreft_reactie_op_aangenomen/","Ja")</f>
        <v>Ja</v>
      </c>
      <c r="K77" s="353"/>
      <c r="L77" s="354" t="s">
        <v>61</v>
      </c>
    </row>
    <row r="78" ht="17.25" customHeight="1">
      <c r="B78" s="348" t="s">
        <v>295</v>
      </c>
      <c r="C78" s="364" t="s">
        <v>31</v>
      </c>
      <c r="D78" s="364" t="s">
        <v>294</v>
      </c>
      <c r="E78" s="363" t="str">
        <f>hyperlink("https://old.reddit.com/r/RMTK/comments/c5sd9y/m0073_motie_tot_verbetering_internationaal/?","Motie tot verbetering internationaal openbaar vervoer")</f>
        <v>Motie tot verbetering internationaal openbaar vervoer</v>
      </c>
      <c r="F78" s="351"/>
      <c r="G78" s="396" t="s">
        <v>166</v>
      </c>
      <c r="H78" s="353"/>
      <c r="I78" s="252" t="s">
        <v>236</v>
      </c>
      <c r="J78" s="385" t="str">
        <f t="shared" si="1"/>
        <v>Ja</v>
      </c>
      <c r="K78" s="353"/>
      <c r="L78" s="354" t="s">
        <v>61</v>
      </c>
    </row>
    <row r="79" ht="17.25" customHeight="1">
      <c r="B79" s="348" t="s">
        <v>296</v>
      </c>
      <c r="C79" s="364" t="s">
        <v>31</v>
      </c>
      <c r="D79" s="364" t="s">
        <v>294</v>
      </c>
      <c r="E79" s="363" t="str">
        <f>hyperlink("https://old.reddit.com/r/RMTK/comments/c67sej/m0074_motie_tot_onderzoek_doen_naar_milieuplafonds/?","Motie tot onderzoek doen naar milieuplafonds")</f>
        <v>Motie tot onderzoek doen naar milieuplafonds</v>
      </c>
      <c r="F79" s="351"/>
      <c r="G79" s="396" t="s">
        <v>166</v>
      </c>
      <c r="H79" s="353"/>
      <c r="I79" s="252" t="s">
        <v>236</v>
      </c>
      <c r="J79" s="385" t="str">
        <f t="shared" si="1"/>
        <v>Ja</v>
      </c>
      <c r="K79" s="353"/>
      <c r="L79" s="354" t="s">
        <v>61</v>
      </c>
    </row>
    <row r="80" ht="17.25" customHeight="1">
      <c r="B80" s="348" t="s">
        <v>297</v>
      </c>
      <c r="C80" s="364" t="s">
        <v>31</v>
      </c>
      <c r="D80" s="364" t="s">
        <v>260</v>
      </c>
      <c r="E80" s="395" t="str">
        <f>hyperlink("https://www.reddit.com/r/RMTK/comments/c7qoux/m0075_motie_tot_het_aanpakken_van_problemen/","Motie tot het aanpakken van problemen rondom 112 en NL-Alert")</f>
        <v>Motie tot het aanpakken van problemen rondom 112 en NL-Alert</v>
      </c>
      <c r="F80" s="351"/>
      <c r="G80" s="352" t="s">
        <v>163</v>
      </c>
      <c r="H80" s="353"/>
      <c r="I80" s="252" t="s">
        <v>276</v>
      </c>
      <c r="J80" s="352" t="s">
        <v>118</v>
      </c>
      <c r="K80" s="353"/>
      <c r="L80" s="354" t="s">
        <v>61</v>
      </c>
    </row>
    <row r="81" ht="17.25" customHeight="1">
      <c r="B81" s="348" t="s">
        <v>298</v>
      </c>
      <c r="C81" s="364" t="s">
        <v>31</v>
      </c>
      <c r="D81" s="364" t="s">
        <v>32</v>
      </c>
      <c r="E81" s="363" t="str">
        <f>HYPERLINK("https://www.reddit.com/r/RMTK/comments/c8d1ja/m0076_motie_tot_uitdelen_oordoppen_bij_festivals/","Motie tot uitdelen oordoppen bij festivals")</f>
        <v>Motie tot uitdelen oordoppen bij festivals</v>
      </c>
      <c r="F81" s="351"/>
      <c r="G81" s="381" t="s">
        <v>170</v>
      </c>
      <c r="H81" s="353"/>
      <c r="I81" s="252" t="s">
        <v>236</v>
      </c>
      <c r="J81" s="352" t="s">
        <v>118</v>
      </c>
      <c r="K81" s="353"/>
      <c r="L81" s="354" t="s">
        <v>61</v>
      </c>
    </row>
    <row r="82" ht="7.5" customHeight="1">
      <c r="A82" s="370"/>
      <c r="B82" s="370"/>
      <c r="C82" s="371"/>
      <c r="D82" s="371"/>
      <c r="E82" s="372"/>
      <c r="F82" s="373"/>
      <c r="G82" s="374"/>
      <c r="H82" s="375"/>
      <c r="I82" s="374"/>
      <c r="J82" s="370"/>
      <c r="K82" s="375"/>
      <c r="L82" s="370"/>
    </row>
    <row r="83" ht="17.25" customHeight="1">
      <c r="A83" s="347" t="s">
        <v>299</v>
      </c>
      <c r="B83" s="348" t="s">
        <v>300</v>
      </c>
      <c r="C83" s="386" t="s">
        <v>243</v>
      </c>
      <c r="D83" s="386" t="s">
        <v>301</v>
      </c>
      <c r="E83" s="363" t="str">
        <f>HYPERLINK("https://www.reddit.com/r/RMTK/comments/caneu6/m0077_motie_tot_opstellen_van_klimaatnota/","Motie tot opstellen van klimaatnota")</f>
        <v>Motie tot opstellen van klimaatnota</v>
      </c>
      <c r="F83" s="351"/>
      <c r="G83" s="381" t="s">
        <v>170</v>
      </c>
      <c r="H83" s="353"/>
      <c r="I83" s="252" t="s">
        <v>236</v>
      </c>
      <c r="J83" s="352" t="s">
        <v>118</v>
      </c>
      <c r="K83" s="353"/>
      <c r="L83" s="354" t="s">
        <v>61</v>
      </c>
    </row>
    <row r="84" ht="17.25" customHeight="1">
      <c r="B84" s="348" t="s">
        <v>302</v>
      </c>
      <c r="C84" s="364" t="s">
        <v>31</v>
      </c>
      <c r="D84" s="364" t="s">
        <v>260</v>
      </c>
      <c r="E84" s="363" t="str">
        <f>hyperlink("https://www.reddit.com/r/RMTK/comments/cb3edh/motie_tot_het_aanpakken_van_problemen_rondom_112/","Motie tot het aanpakken van problemen rondom 112 en NL-Alert")</f>
        <v>Motie tot het aanpakken van problemen rondom 112 en NL-Alert</v>
      </c>
      <c r="F84" s="351"/>
      <c r="G84" s="396" t="s">
        <v>166</v>
      </c>
      <c r="H84" s="353"/>
      <c r="I84" s="252" t="s">
        <v>198</v>
      </c>
      <c r="J84" s="391" t="str">
        <f>HYPERLINK("https://www.reddit.com/r/RMTK/comments/d00zna/ks0033_kamerbrief_aangaande_storingen_bij_het/","Ja")</f>
        <v>Ja</v>
      </c>
      <c r="K84" s="353"/>
      <c r="L84" s="354" t="s">
        <v>61</v>
      </c>
    </row>
    <row r="85" ht="17.25" customHeight="1">
      <c r="B85" s="348" t="s">
        <v>303</v>
      </c>
      <c r="C85" s="386" t="s">
        <v>243</v>
      </c>
      <c r="D85" s="386" t="s">
        <v>252</v>
      </c>
      <c r="E85" s="363" t="str">
        <f>HYPERLINK("https://www.reddit.com/r/RMTK/comments/cbwf92/m0079_motie_tot_uitvoering_m0050/","Motie tot uitvoering M0050")</f>
        <v>Motie tot uitvoering M0050</v>
      </c>
      <c r="F85" s="351"/>
      <c r="G85" s="396" t="s">
        <v>170</v>
      </c>
      <c r="H85" s="353"/>
      <c r="I85" s="252" t="s">
        <v>236</v>
      </c>
      <c r="J85" s="352" t="s">
        <v>118</v>
      </c>
      <c r="K85" s="353"/>
      <c r="L85" s="354" t="s">
        <v>61</v>
      </c>
    </row>
    <row r="86" ht="17.25" customHeight="1">
      <c r="B86" s="348" t="s">
        <v>304</v>
      </c>
      <c r="C86" s="397" t="s">
        <v>305</v>
      </c>
      <c r="D86" s="397" t="s">
        <v>306</v>
      </c>
      <c r="E86" s="363" t="str">
        <f>HYPERLINK("https://www.reddit.com/r/RMTK/comments/cdkiso/m0080_motie_tot_onderzoek_naar_circulair_maken/","Motie tot onderzoek naar circulair maken bouw")</f>
        <v>Motie tot onderzoek naar circulair maken bouw</v>
      </c>
      <c r="F86" s="351"/>
      <c r="G86" s="396" t="s">
        <v>166</v>
      </c>
      <c r="H86" s="353"/>
      <c r="I86" s="252" t="s">
        <v>236</v>
      </c>
      <c r="J86" s="352" t="s">
        <v>180</v>
      </c>
      <c r="K86" s="353"/>
      <c r="L86" s="354" t="s">
        <v>61</v>
      </c>
    </row>
    <row r="87" ht="17.25" customHeight="1">
      <c r="B87" s="348" t="s">
        <v>307</v>
      </c>
      <c r="C87" s="389" t="s">
        <v>255</v>
      </c>
      <c r="D87" s="389" t="s">
        <v>308</v>
      </c>
      <c r="E87" s="363" t="str">
        <f>HYPERLINK("https://www.reddit.com/r/RMTK/comments/cdxunf/m0081_motie_tot_versimpeling_belastingsysteem/","Motie tot versimpeling belastingsysteem")</f>
        <v>Motie tot versimpeling belastingsysteem</v>
      </c>
      <c r="F87" s="351"/>
      <c r="G87" s="396" t="s">
        <v>166</v>
      </c>
      <c r="H87" s="353"/>
      <c r="I87" s="252" t="s">
        <v>309</v>
      </c>
      <c r="J87" s="352" t="s">
        <v>180</v>
      </c>
      <c r="K87" s="353"/>
      <c r="L87" s="354" t="s">
        <v>61</v>
      </c>
    </row>
    <row r="88" ht="17.25" customHeight="1">
      <c r="B88" s="348" t="s">
        <v>310</v>
      </c>
      <c r="C88" s="398" t="s">
        <v>311</v>
      </c>
      <c r="D88" s="398" t="s">
        <v>102</v>
      </c>
      <c r="E88" s="363" t="str">
        <f>HYPERLINK("https://www.reddit.com/r/RMTK/comments/cgeui7/m0082_motie_tot_openbaar_maken_partijlidmaatschap/","Motie tot openbaar maken partijlidmaatschap bestuursleden NPO")</f>
        <v>Motie tot openbaar maken partijlidmaatschap bestuursleden NPO</v>
      </c>
      <c r="F88" s="351"/>
      <c r="G88" s="396" t="s">
        <v>170</v>
      </c>
      <c r="H88" s="353"/>
      <c r="I88" s="252" t="s">
        <v>216</v>
      </c>
      <c r="J88" s="352" t="s">
        <v>118</v>
      </c>
      <c r="K88" s="353"/>
      <c r="L88" s="354" t="s">
        <v>61</v>
      </c>
    </row>
    <row r="89" ht="17.25" customHeight="1">
      <c r="B89" s="348" t="s">
        <v>312</v>
      </c>
      <c r="C89" s="364" t="s">
        <v>31</v>
      </c>
      <c r="D89" s="364" t="s">
        <v>294</v>
      </c>
      <c r="E89" s="363" t="str">
        <f>HYPERLINK("https://www.reddit.com/r/RMTK/comments/cgx23i/m0083m0086_moties_ingediend_bij_debat_over_de/","Motie tot verdere samenwerking NPO en VRT")</f>
        <v>Motie tot verdere samenwerking NPO en VRT</v>
      </c>
      <c r="F89" s="351"/>
      <c r="G89" s="399" t="s">
        <v>166</v>
      </c>
      <c r="H89" s="351"/>
      <c r="I89" s="252" t="s">
        <v>216</v>
      </c>
      <c r="J89" s="352" t="s">
        <v>267</v>
      </c>
      <c r="K89" s="353"/>
      <c r="L89" s="354" t="s">
        <v>61</v>
      </c>
    </row>
    <row r="90" ht="17.25" customHeight="1">
      <c r="B90" s="348" t="s">
        <v>313</v>
      </c>
      <c r="C90" s="364" t="s">
        <v>31</v>
      </c>
      <c r="D90" s="364" t="s">
        <v>294</v>
      </c>
      <c r="E90" s="363" t="str">
        <f>HYPERLINK("https://www.reddit.com/r/RMTK/comments/cgx23i/m0083m0086_moties_ingediend_bij_debat_over_de/","Motie tot vergroting van de reclamemogelijkheden van de NPO in tijden van lage kijkcijfers")</f>
        <v>Motie tot vergroting van de reclamemogelijkheden van de NPO in tijden van lage kijkcijfers</v>
      </c>
      <c r="F90" s="351"/>
      <c r="G90" s="399" t="s">
        <v>166</v>
      </c>
      <c r="H90" s="351"/>
      <c r="I90" s="252" t="s">
        <v>216</v>
      </c>
      <c r="J90" s="352" t="s">
        <v>267</v>
      </c>
      <c r="K90" s="353"/>
      <c r="L90" s="354" t="s">
        <v>61</v>
      </c>
    </row>
    <row r="91" ht="17.25" customHeight="1">
      <c r="B91" s="348" t="s">
        <v>314</v>
      </c>
      <c r="C91" s="364" t="s">
        <v>31</v>
      </c>
      <c r="D91" s="364" t="s">
        <v>294</v>
      </c>
      <c r="E91" s="363" t="str">
        <f>HYPERLINK("https://www.reddit.com/r/RMTK/comments/cgx23i/m0083m0086_moties_ingediend_bij_debat_over_de/","Motie tot vergroten van de mogelijkheden tot samenwerking met streamingbedrijven voor de NPO")</f>
        <v>Motie tot vergroten van de mogelijkheden tot samenwerking met streamingbedrijven voor de NPO</v>
      </c>
      <c r="F91" s="351"/>
      <c r="G91" s="399" t="s">
        <v>166</v>
      </c>
      <c r="H91" s="351"/>
      <c r="I91" s="252" t="s">
        <v>216</v>
      </c>
      <c r="J91" s="352" t="s">
        <v>267</v>
      </c>
      <c r="K91" s="353"/>
      <c r="L91" s="354" t="s">
        <v>61</v>
      </c>
    </row>
    <row r="92" ht="17.25" customHeight="1">
      <c r="B92" s="348" t="s">
        <v>315</v>
      </c>
      <c r="C92" s="364" t="s">
        <v>31</v>
      </c>
      <c r="D92" s="364" t="s">
        <v>294</v>
      </c>
      <c r="E92" s="363" t="str">
        <f>HYPERLINK("https://www.reddit.com/r/RMTK/comments/cgx23i/m0083m0086_moties_ingediend_bij_debat_over_de/","Motie tot zendtijd voor lokale omroepen op de NPO")</f>
        <v>Motie tot zendtijd voor lokale omroepen op de NPO</v>
      </c>
      <c r="F92" s="351"/>
      <c r="G92" s="399" t="s">
        <v>166</v>
      </c>
      <c r="H92" s="351"/>
      <c r="I92" s="252" t="s">
        <v>216</v>
      </c>
      <c r="J92" s="352" t="s">
        <v>267</v>
      </c>
      <c r="K92" s="353"/>
      <c r="L92" s="354" t="s">
        <v>61</v>
      </c>
    </row>
    <row r="93" ht="17.25" customHeight="1">
      <c r="B93" s="348" t="s">
        <v>316</v>
      </c>
      <c r="C93" s="364" t="s">
        <v>31</v>
      </c>
      <c r="D93" s="364" t="s">
        <v>294</v>
      </c>
      <c r="E93" s="363" t="str">
        <f>HYPERLINK("https://www.reddit.com/r/RMTK/comments/cgx44w/m0087_motie_verduidelijking_en_samenvoeging/","Motie verduidelijking en samenvoeging regelgeving omtrent extreem warm weer")</f>
        <v>Motie verduidelijking en samenvoeging regelgeving omtrent extreem warm weer</v>
      </c>
      <c r="F93" s="351"/>
      <c r="G93" s="399" t="s">
        <v>166</v>
      </c>
      <c r="H93" s="351"/>
      <c r="I93" s="252" t="s">
        <v>253</v>
      </c>
      <c r="J93" s="352" t="s">
        <v>180</v>
      </c>
      <c r="K93" s="353"/>
      <c r="L93" s="354" t="s">
        <v>61</v>
      </c>
    </row>
    <row r="94" ht="17.25" customHeight="1">
      <c r="B94" s="348" t="s">
        <v>317</v>
      </c>
      <c r="C94" s="386" t="s">
        <v>243</v>
      </c>
      <c r="D94" s="386" t="s">
        <v>252</v>
      </c>
      <c r="E94" s="363" t="str">
        <f>HYPERLINK("https://www.reddit.com/r/RMTK/comments/chp5na/m0088_motie_tot_verandering_regelgeving_regeling/","Motie tot verandering regelgeving regeling overheidszaken")</f>
        <v>Motie tot verandering regelgeving regeling overheidszaken</v>
      </c>
      <c r="F94" s="351"/>
      <c r="G94" s="399" t="s">
        <v>166</v>
      </c>
      <c r="H94" s="351"/>
      <c r="I94" s="252" t="s">
        <v>247</v>
      </c>
      <c r="J94" s="352" t="s">
        <v>180</v>
      </c>
      <c r="K94" s="353"/>
      <c r="L94" s="354" t="s">
        <v>61</v>
      </c>
    </row>
    <row r="95" ht="17.25" customHeight="1">
      <c r="B95" s="348" t="s">
        <v>318</v>
      </c>
      <c r="C95" s="386" t="s">
        <v>243</v>
      </c>
      <c r="D95" s="386" t="s">
        <v>252</v>
      </c>
      <c r="E95" s="363" t="str">
        <f>HYPERLINK("https://www.reddit.com/r/RMTK/comments/cj9vrz/m0089_motie_met_het_verzoek_om_informatie_over/","Motie met het verzoek om informatie over Huawei")</f>
        <v>Motie met het verzoek om informatie over Huawei</v>
      </c>
      <c r="F95" s="351"/>
      <c r="G95" s="399" t="s">
        <v>170</v>
      </c>
      <c r="H95" s="351"/>
      <c r="I95" s="252" t="s">
        <v>183</v>
      </c>
      <c r="J95" s="352" t="s">
        <v>118</v>
      </c>
      <c r="K95" s="353"/>
      <c r="L95" s="354" t="s">
        <v>61</v>
      </c>
    </row>
    <row r="96" ht="17.25" customHeight="1">
      <c r="B96" s="348" t="s">
        <v>319</v>
      </c>
      <c r="C96" s="400" t="s">
        <v>320</v>
      </c>
      <c r="D96" s="400" t="s">
        <v>260</v>
      </c>
      <c r="E96" s="363" t="str">
        <f>HYPERLINK("https://www.reddit.com/r/RMTK/comments/ckamkr/m0090_motie_tot_organisatie_van_een_diplomatieke/","Motie tot organisatie van een diplomatieke missie tussen Nederland en de Verenigde Staten van Amerika")</f>
        <v>Motie tot organisatie van een diplomatieke missie tussen Nederland en de Verenigde Staten van Amerika</v>
      </c>
      <c r="F96" s="351"/>
      <c r="G96" s="399" t="s">
        <v>166</v>
      </c>
      <c r="H96" s="351"/>
      <c r="I96" s="252" t="s">
        <v>183</v>
      </c>
      <c r="J96" s="401" t="str">
        <f>HYPERLINK("https://www.reddit.com/r/RMTK/comments/cyt7s6/ks0032_kamerbrief_aangaande_tweedaags_amerikaans/","Ja")</f>
        <v>Ja</v>
      </c>
      <c r="K96" s="353"/>
      <c r="L96" s="354" t="s">
        <v>61</v>
      </c>
    </row>
    <row r="97" ht="17.25" customHeight="1">
      <c r="B97" s="348" t="s">
        <v>321</v>
      </c>
      <c r="C97" s="377" t="s">
        <v>214</v>
      </c>
      <c r="D97" s="377" t="s">
        <v>182</v>
      </c>
      <c r="E97" s="363" t="str">
        <f>HYPERLINK("https://www.reddit.com/r/RMTK/comments/ckpx42/m0091_motie_tot_erkenning_van_een_derde_geslacht/","Motie tot erkenning van een derde geslacht")</f>
        <v>Motie tot erkenning van een derde geslacht</v>
      </c>
      <c r="F97" s="351"/>
      <c r="G97" s="399" t="s">
        <v>166</v>
      </c>
      <c r="H97" s="351"/>
      <c r="I97" s="252" t="s">
        <v>322</v>
      </c>
      <c r="J97" s="391" t="str">
        <f>hyperlink("https://www.reddit.com/r/RMTK/comments/f58gig/w0070_voorstel_wet_derde_geslacht/","Ja")</f>
        <v>Ja</v>
      </c>
      <c r="K97" s="353"/>
      <c r="L97" s="354" t="s">
        <v>61</v>
      </c>
    </row>
    <row r="98" ht="17.25" customHeight="1">
      <c r="B98" s="348" t="s">
        <v>323</v>
      </c>
      <c r="C98" s="400" t="s">
        <v>320</v>
      </c>
      <c r="D98" s="400" t="s">
        <v>260</v>
      </c>
      <c r="E98" s="359" t="str">
        <f>HYPERLINK("https://www.reddit.com/r/RMTK/comments/cn3gr4/m0092_motie_tot_het_cre%C3%ABren_van_beschutte/","Motie tot het creëren van beschutte werkplekken")</f>
        <v>Motie tot het creëren van beschutte werkplekken</v>
      </c>
      <c r="F98" s="351"/>
      <c r="G98" s="399" t="s">
        <v>166</v>
      </c>
      <c r="H98" s="351"/>
      <c r="I98" s="252" t="s">
        <v>253</v>
      </c>
      <c r="J98" s="391" t="str">
        <f>HYPERLINK("https://www.reddit.com/r/RMTK/comments/d8u4wo/ks0038_kamerbrief_aangaande_meerdere_kamerstukken/","Ja")</f>
        <v>Ja</v>
      </c>
      <c r="K98" s="353"/>
      <c r="L98" s="354" t="s">
        <v>61</v>
      </c>
    </row>
    <row r="99" ht="17.25" customHeight="1">
      <c r="B99" s="348" t="s">
        <v>324</v>
      </c>
      <c r="C99" s="398" t="s">
        <v>311</v>
      </c>
      <c r="D99" s="398" t="s">
        <v>102</v>
      </c>
      <c r="E99" s="359" t="str">
        <f>HYPERLINK("https://www.reddit.com/r/RMTK/comments/cn3hgk/m0093_motie_tot_verdere_privatisering_abn_amro/","Motie tot verdere privatisering ABN AMRO")</f>
        <v>Motie tot verdere privatisering ABN AMRO</v>
      </c>
      <c r="F99" s="351"/>
      <c r="G99" s="399" t="s">
        <v>170</v>
      </c>
      <c r="H99" s="351"/>
      <c r="I99" s="252" t="s">
        <v>309</v>
      </c>
      <c r="J99" s="352" t="s">
        <v>118</v>
      </c>
      <c r="K99" s="353"/>
      <c r="L99" s="354" t="s">
        <v>61</v>
      </c>
    </row>
    <row r="100" ht="17.25" customHeight="1">
      <c r="B100" s="348" t="s">
        <v>325</v>
      </c>
      <c r="C100" s="398" t="s">
        <v>311</v>
      </c>
      <c r="D100" s="398" t="s">
        <v>326</v>
      </c>
      <c r="E100" s="363" t="str">
        <f>HYPERLINK("https://www.reddit.com/r/RMTK/comments/cpw0f0/m0094_motie_vrijgezellenbelasting/","Motie vrijgezellenbelasting")</f>
        <v>Motie vrijgezellenbelasting</v>
      </c>
      <c r="F100" s="351"/>
      <c r="G100" s="399" t="s">
        <v>170</v>
      </c>
      <c r="H100" s="351"/>
      <c r="I100" s="252" t="s">
        <v>309</v>
      </c>
      <c r="J100" s="352" t="s">
        <v>118</v>
      </c>
      <c r="K100" s="353"/>
      <c r="L100" s="354" t="s">
        <v>61</v>
      </c>
    </row>
    <row r="101" ht="17.25" customHeight="1">
      <c r="B101" s="348" t="s">
        <v>327</v>
      </c>
      <c r="C101" s="364" t="s">
        <v>31</v>
      </c>
      <c r="D101" s="364" t="s">
        <v>16</v>
      </c>
      <c r="E101" s="363" t="str">
        <f>HYPERLINK("https://www.reddit.com/r/RMTK/comments/cqh410/m0095m0096_moties_over_datalek_rdw/","Motie tot onderzoek naar privacy schendingen bij overheidsinstanties")</f>
        <v>Motie tot onderzoek naar privacy schendingen bij overheidsinstanties</v>
      </c>
      <c r="F101" s="351"/>
      <c r="G101" s="399" t="s">
        <v>166</v>
      </c>
      <c r="H101" s="351"/>
      <c r="I101" s="252" t="s">
        <v>250</v>
      </c>
      <c r="J101" s="352" t="s">
        <v>180</v>
      </c>
      <c r="K101" s="353"/>
      <c r="L101" s="354" t="s">
        <v>61</v>
      </c>
    </row>
    <row r="102" ht="17.25" customHeight="1">
      <c r="B102" s="348" t="s">
        <v>328</v>
      </c>
      <c r="C102" s="364" t="s">
        <v>31</v>
      </c>
      <c r="D102" s="364" t="s">
        <v>16</v>
      </c>
      <c r="E102" s="363" t="str">
        <f>HYPERLINK("https://www.reddit.com/r/RMTK/comments/cqh410/m0095m0096_moties_over_datalek_rdw/","Motie tot beter beveiligen database RDW")</f>
        <v>Motie tot beter beveiligen database RDW</v>
      </c>
      <c r="F102" s="351"/>
      <c r="G102" s="399" t="s">
        <v>166</v>
      </c>
      <c r="H102" s="351"/>
      <c r="I102" s="252" t="s">
        <v>250</v>
      </c>
      <c r="J102" s="352" t="s">
        <v>180</v>
      </c>
      <c r="K102" s="353"/>
      <c r="L102" s="354" t="s">
        <v>61</v>
      </c>
    </row>
    <row r="103" ht="17.25" customHeight="1">
      <c r="B103" s="348" t="s">
        <v>329</v>
      </c>
      <c r="C103" s="400" t="s">
        <v>320</v>
      </c>
      <c r="D103" s="400" t="s">
        <v>260</v>
      </c>
      <c r="E103" s="363" t="str">
        <f>HYPERLINK("https://www.reddit.com/r/RMTK/comments/cr3z5o/m0097_motie_tot_evaluatie_van/","Motie tot evaluatie van energieopslagmethoden")</f>
        <v>Motie tot evaluatie van energieopslagmethoden</v>
      </c>
      <c r="F103" s="351"/>
      <c r="G103" s="402" t="s">
        <v>166</v>
      </c>
      <c r="H103" s="351"/>
      <c r="I103" s="252" t="s">
        <v>250</v>
      </c>
      <c r="J103" s="352" t="s">
        <v>180</v>
      </c>
      <c r="K103" s="353"/>
      <c r="L103" s="354" t="s">
        <v>61</v>
      </c>
    </row>
    <row r="104" ht="17.25" customHeight="1">
      <c r="B104" s="348" t="s">
        <v>330</v>
      </c>
      <c r="C104" s="400" t="s">
        <v>320</v>
      </c>
      <c r="D104" s="400" t="s">
        <v>260</v>
      </c>
      <c r="E104" s="363" t="str">
        <f>HYPERLINK("https://www.reddit.com/r/RMTK/comments/csznc1/m0098_motie_tot_onderzoek_doen_naar_een/","Motie tot onderzoek doen naar een gezamenlijk Nederlands-Vlaams OV-netwerk")</f>
        <v>Motie tot onderzoek doen naar een gezamenlijk Nederlands-Vlaams OV-netwerk</v>
      </c>
      <c r="F104" s="351"/>
      <c r="G104" s="402" t="s">
        <v>166</v>
      </c>
      <c r="H104" s="351"/>
      <c r="I104" s="252" t="s">
        <v>250</v>
      </c>
      <c r="J104" s="352" t="s">
        <v>180</v>
      </c>
      <c r="K104" s="353"/>
      <c r="L104" s="354" t="s">
        <v>61</v>
      </c>
    </row>
    <row r="105" ht="17.25" customHeight="1">
      <c r="B105" s="348" t="s">
        <v>331</v>
      </c>
      <c r="C105" s="390" t="s">
        <v>258</v>
      </c>
      <c r="D105" s="390" t="s">
        <v>176</v>
      </c>
      <c r="E105" s="363" t="str">
        <f>HYPERLINK("https://www.reddit.com/r/RMTK/comments/ctxz1e/m0099_motie_tot_reductie_verdrinkingsdoden/","Motie tot reductie verdrinkingsdoden")</f>
        <v>Motie tot reductie verdrinkingsdoden</v>
      </c>
      <c r="F105" s="351"/>
      <c r="G105" s="402" t="s">
        <v>166</v>
      </c>
      <c r="H105" s="351"/>
      <c r="I105" s="252" t="s">
        <v>198</v>
      </c>
      <c r="J105" s="352" t="s">
        <v>180</v>
      </c>
      <c r="K105" s="353"/>
      <c r="L105" s="354" t="s">
        <v>61</v>
      </c>
    </row>
    <row r="106" ht="17.25" customHeight="1">
      <c r="B106" s="348" t="s">
        <v>332</v>
      </c>
      <c r="C106" s="403" t="s">
        <v>333</v>
      </c>
      <c r="D106" s="403" t="s">
        <v>25</v>
      </c>
      <c r="E106" s="363" t="str">
        <f>HYPERLINK("https://www.reddit.com/r/RMTK/comments/cvous8/m0100_motie_tot_cre%C3%ABren_vergunning_voor_bezit/","Motie tot creëren vergunning voor bezit meerdere woonhuizen")</f>
        <v>Motie tot creëren vergunning voor bezit meerdere woonhuizen</v>
      </c>
      <c r="F106" s="351"/>
      <c r="G106" s="402" t="s">
        <v>170</v>
      </c>
      <c r="H106" s="351"/>
      <c r="I106" s="252" t="s">
        <v>247</v>
      </c>
      <c r="J106" s="352" t="s">
        <v>118</v>
      </c>
      <c r="K106" s="353"/>
      <c r="L106" s="354" t="s">
        <v>61</v>
      </c>
    </row>
    <row r="107" ht="17.25" customHeight="1">
      <c r="B107" s="348" t="s">
        <v>334</v>
      </c>
      <c r="C107" s="364" t="s">
        <v>31</v>
      </c>
      <c r="D107" s="364" t="s">
        <v>111</v>
      </c>
      <c r="E107" s="363" t="str">
        <f>HYPERLINK("https://www.reddit.com/r/RMTK/comments/cw5pmx/m0101_motie_tot_boycot_van_fout_vlees_en_foute/","Motie tot boycot van fout vlees en foute soja uit het Amazonegebied")</f>
        <v>Motie tot boycot van fout vlees en foute soja uit het Amazonegebied</v>
      </c>
      <c r="F107" s="351"/>
      <c r="G107" s="402" t="s">
        <v>166</v>
      </c>
      <c r="H107" s="351"/>
      <c r="I107" s="252" t="s">
        <v>335</v>
      </c>
      <c r="J107" s="352" t="s">
        <v>180</v>
      </c>
      <c r="K107" s="353"/>
      <c r="L107" s="354" t="s">
        <v>61</v>
      </c>
    </row>
    <row r="108" ht="17.25" customHeight="1">
      <c r="B108" s="348" t="s">
        <v>336</v>
      </c>
      <c r="C108" s="403" t="s">
        <v>333</v>
      </c>
      <c r="D108" s="403" t="s">
        <v>25</v>
      </c>
      <c r="E108" s="363" t="str">
        <f>HYPERLINK("https://www.reddit.com/r/RMTK/comments/cz88o9/m0102_motie_tot_gratis_maken_ov/","Motie tot gratis maken OV")</f>
        <v>Motie tot gratis maken OV</v>
      </c>
      <c r="F108" s="351"/>
      <c r="G108" s="402" t="s">
        <v>170</v>
      </c>
      <c r="H108" s="351"/>
      <c r="I108" s="252" t="s">
        <v>250</v>
      </c>
      <c r="J108" s="352" t="s">
        <v>118</v>
      </c>
      <c r="K108" s="353"/>
      <c r="L108" s="354" t="s">
        <v>61</v>
      </c>
    </row>
    <row r="109" ht="17.25" customHeight="1">
      <c r="B109" s="348" t="s">
        <v>337</v>
      </c>
      <c r="C109" s="392" t="s">
        <v>274</v>
      </c>
      <c r="D109" s="392" t="s">
        <v>101</v>
      </c>
      <c r="E109" s="359" t="str">
        <f>HYPERLINK("https://www.reddit.com/r/RMTK/comments/czpknp/m0103_motie_tot_herbenoeming_burgemeester_van/","Motie tot herbenoeming burgemeester van Amsterdam")</f>
        <v>Motie tot herbenoeming burgemeester van Amsterdam</v>
      </c>
      <c r="F109" s="351"/>
      <c r="G109" s="402" t="s">
        <v>170</v>
      </c>
      <c r="H109" s="351"/>
      <c r="I109" s="252" t="s">
        <v>247</v>
      </c>
      <c r="J109" s="352" t="s">
        <v>118</v>
      </c>
      <c r="K109" s="353"/>
      <c r="L109" s="354" t="s">
        <v>61</v>
      </c>
    </row>
    <row r="110" ht="17.25" customHeight="1">
      <c r="B110" s="348" t="s">
        <v>338</v>
      </c>
      <c r="C110" s="364" t="s">
        <v>31</v>
      </c>
      <c r="D110" s="364" t="s">
        <v>111</v>
      </c>
      <c r="E110" s="363" t="str">
        <f>HYPERLINK("https://www.reddit.com/r/RMTK/comments/d0it9u/m0104_motie_ter_bevordering_van_het_frysk_en/","Motie ter bevordering van het Frysk- en streektalenonderwijs")</f>
        <v>Motie ter bevordering van het Frysk- en streektalenonderwijs</v>
      </c>
      <c r="F110" s="351"/>
      <c r="G110" s="402" t="s">
        <v>166</v>
      </c>
      <c r="H110" s="351"/>
      <c r="I110" s="252" t="s">
        <v>216</v>
      </c>
      <c r="J110" s="352" t="s">
        <v>180</v>
      </c>
      <c r="K110" s="353"/>
      <c r="L110" s="354" t="s">
        <v>61</v>
      </c>
    </row>
    <row r="111" ht="17.25" customHeight="1">
      <c r="B111" s="348" t="s">
        <v>339</v>
      </c>
      <c r="C111" s="364" t="s">
        <v>31</v>
      </c>
      <c r="D111" s="364" t="s">
        <v>16</v>
      </c>
      <c r="E111" s="363" t="str">
        <f>HYPERLINK("https://www.reddit.com/r/RMTK/comments/d2x07x/m0105_motie_tot_europese_samenwerking_op_het/","Motie tot Europese samenwerking op het gebied van voedselkwaliteit")</f>
        <v>Motie tot Europese samenwerking op het gebied van voedselkwaliteit</v>
      </c>
      <c r="F111" s="351"/>
      <c r="G111" s="402" t="s">
        <v>166</v>
      </c>
      <c r="H111" s="351"/>
      <c r="I111" s="252" t="s">
        <v>253</v>
      </c>
      <c r="J111" s="391" t="str">
        <f t="shared" ref="J111:J112" si="2">HYPERLINK("https://www.reddit.com/r/RMTK/comments/d8u4wo/ks0038_kamerbrief_aangaande_meerdere_kamerstukken/","Ja")</f>
        <v>Ja</v>
      </c>
      <c r="K111" s="353"/>
      <c r="L111" s="354" t="s">
        <v>61</v>
      </c>
    </row>
    <row r="112" ht="17.25" customHeight="1">
      <c r="B112" s="348" t="s">
        <v>340</v>
      </c>
      <c r="C112" s="364" t="s">
        <v>31</v>
      </c>
      <c r="D112" s="364" t="s">
        <v>16</v>
      </c>
      <c r="E112" s="363" t="str">
        <f>HYPERLINK("https://www.reddit.com/r/RMTK/comments/d2x1rb/m0106_motie_tot_verbeteren_voedselveiligheid/","Motie tot verbeteren voedselveiligheid")</f>
        <v>Motie tot verbeteren voedselveiligheid</v>
      </c>
      <c r="F112" s="351"/>
      <c r="G112" s="402" t="s">
        <v>166</v>
      </c>
      <c r="H112" s="351"/>
      <c r="I112" s="252" t="s">
        <v>253</v>
      </c>
      <c r="J112" s="391" t="str">
        <f t="shared" si="2"/>
        <v>Ja</v>
      </c>
      <c r="K112" s="353"/>
      <c r="L112" s="354" t="s">
        <v>61</v>
      </c>
    </row>
    <row r="113" ht="17.25" customHeight="1">
      <c r="B113" s="348" t="s">
        <v>341</v>
      </c>
      <c r="C113" s="364" t="s">
        <v>31</v>
      </c>
      <c r="D113" s="364" t="s">
        <v>112</v>
      </c>
      <c r="E113" s="363" t="str">
        <f>HYPERLINK("https://www.reddit.com/r/RMTK/comments/d37gxt/m0107_motie_tot_gelijk_visumbeleid_door_de/","Motie tot gelijk visumbeleid door de Verenigde Staten voor alle lidstaten van de Europese Unie")</f>
        <v>Motie tot gelijk visumbeleid door de Verenigde Staten voor alle lidstaten van de Europese Unie</v>
      </c>
      <c r="F113" s="351"/>
      <c r="G113" s="402" t="s">
        <v>166</v>
      </c>
      <c r="H113" s="351"/>
      <c r="I113" s="252" t="s">
        <v>183</v>
      </c>
      <c r="J113" s="352" t="s">
        <v>180</v>
      </c>
      <c r="K113" s="353"/>
      <c r="L113" s="354" t="s">
        <v>61</v>
      </c>
    </row>
    <row r="114" ht="17.25" customHeight="1">
      <c r="B114" s="348" t="s">
        <v>342</v>
      </c>
      <c r="C114" s="386" t="s">
        <v>243</v>
      </c>
      <c r="D114" s="386" t="s">
        <v>206</v>
      </c>
      <c r="E114" s="383" t="str">
        <f>HYPERLINK("https://www.reddit.com/r/RMTK/comments/d55568/m0108_voorwaardelijke_motie_van_wantrouwen_jegens/","Voorwaardelijke motie van wantrouwen jegens Kabinet 7Hielke-I")</f>
        <v>Voorwaardelijke motie van wantrouwen jegens Kabinet 7Hielke-I</v>
      </c>
      <c r="F114" s="351"/>
      <c r="G114" s="402" t="s">
        <v>170</v>
      </c>
      <c r="H114" s="351"/>
      <c r="I114" s="252" t="s">
        <v>173</v>
      </c>
      <c r="J114" s="352" t="s">
        <v>118</v>
      </c>
      <c r="K114" s="353"/>
      <c r="L114" s="354" t="s">
        <v>61</v>
      </c>
    </row>
    <row r="115" ht="17.25" customHeight="1">
      <c r="B115" s="348" t="s">
        <v>343</v>
      </c>
      <c r="C115" s="364" t="s">
        <v>31</v>
      </c>
      <c r="D115" s="364" t="s">
        <v>294</v>
      </c>
      <c r="E115" s="363" t="str">
        <f>HYPERLINK("https://www.reddit.com/r/RMTK/comments/d5jbj5/m0109_motie_tot_gelijkstelling_vrijstelling_op/","Motie tot gelijkstelling vrijstelling op uitzending militairen")</f>
        <v>Motie tot gelijkstelling vrijstelling op uitzending militairen</v>
      </c>
      <c r="F115" s="351"/>
      <c r="G115" s="402" t="s">
        <v>166</v>
      </c>
      <c r="H115" s="351"/>
      <c r="I115" s="252" t="s">
        <v>344</v>
      </c>
      <c r="J115" s="352" t="s">
        <v>180</v>
      </c>
      <c r="K115" s="353"/>
      <c r="L115" s="354" t="s">
        <v>61</v>
      </c>
    </row>
    <row r="116" ht="17.25" customHeight="1">
      <c r="B116" s="348" t="s">
        <v>345</v>
      </c>
      <c r="C116" s="386" t="s">
        <v>243</v>
      </c>
      <c r="D116" s="386" t="s">
        <v>206</v>
      </c>
      <c r="E116" s="363" t="str">
        <f>HYPERLINK("https://www.reddit.com/r/RMTK/comments/d6jhpf/m0110_motie_tot_aanpassing_van_het_vuurwerkbesluit/","Motie tot aanpassing van het vuurwerkbesluit")</f>
        <v>Motie tot aanpassing van het vuurwerkbesluit</v>
      </c>
      <c r="F116" s="351"/>
      <c r="G116" s="402" t="s">
        <v>166</v>
      </c>
      <c r="H116" s="351"/>
      <c r="I116" s="252" t="s">
        <v>198</v>
      </c>
      <c r="J116" s="352" t="s">
        <v>180</v>
      </c>
      <c r="K116" s="353"/>
      <c r="L116" s="354" t="s">
        <v>61</v>
      </c>
    </row>
    <row r="117" ht="17.25" customHeight="1">
      <c r="B117" s="348" t="s">
        <v>346</v>
      </c>
      <c r="C117" s="392" t="s">
        <v>274</v>
      </c>
      <c r="D117" s="392" t="s">
        <v>101</v>
      </c>
      <c r="E117" s="363" t="str">
        <f>HYPERLINK("https://www.reddit.com/r/RMTK/comments/d88vec/m0111_motie_tot_horecadienstplicht/","Motie tot horeca-dienstplicht")</f>
        <v>Motie tot horeca-dienstplicht</v>
      </c>
      <c r="F117" s="351"/>
      <c r="G117" s="402" t="s">
        <v>170</v>
      </c>
      <c r="H117" s="351"/>
      <c r="I117" s="252" t="s">
        <v>253</v>
      </c>
      <c r="J117" s="352" t="s">
        <v>118</v>
      </c>
      <c r="K117" s="353"/>
      <c r="L117" s="354" t="s">
        <v>61</v>
      </c>
    </row>
    <row r="118" ht="17.25" customHeight="1">
      <c r="B118" s="348" t="s">
        <v>347</v>
      </c>
      <c r="C118" s="252" t="s">
        <v>348</v>
      </c>
      <c r="D118" s="252" t="s">
        <v>294</v>
      </c>
      <c r="E118" s="363" t="str">
        <f>HYPERLINK("https://www.reddit.com/r/RMTK/comments/d8u34t/m0112_motie_tot_het_stimuleren_van_de_bouw_van/","Motie tot het stimuleren van de bouw van openbare toiletten")</f>
        <v>Motie tot het stimuleren van de bouw van openbare toiletten</v>
      </c>
      <c r="F118" s="351"/>
      <c r="G118" s="402" t="s">
        <v>166</v>
      </c>
      <c r="H118" s="351"/>
      <c r="I118" s="252" t="s">
        <v>349</v>
      </c>
      <c r="J118" s="352" t="s">
        <v>180</v>
      </c>
      <c r="K118" s="353"/>
      <c r="L118" s="354" t="s">
        <v>61</v>
      </c>
    </row>
    <row r="119" ht="17.25" customHeight="1">
      <c r="B119" s="348" t="s">
        <v>350</v>
      </c>
      <c r="C119" s="400" t="s">
        <v>320</v>
      </c>
      <c r="D119" s="400" t="s">
        <v>260</v>
      </c>
      <c r="E119" s="383" t="str">
        <f>HYPERLINK("https://www.reddit.com/r/RMTK/comments/d93fdc/m0113_voorwaardelijke_motie_van_wantrouwen_tegen/","Voorwaardelijke Motie van Wantrouwen tegen de Minister van Volksgezondheid en Sociale Zaken")</f>
        <v>Voorwaardelijke Motie van Wantrouwen tegen de Minister van Volksgezondheid en Sociale Zaken</v>
      </c>
      <c r="F119" s="351"/>
      <c r="G119" s="352" t="s">
        <v>286</v>
      </c>
      <c r="H119" s="351"/>
      <c r="I119" s="252" t="s">
        <v>253</v>
      </c>
      <c r="J119" s="352" t="s">
        <v>118</v>
      </c>
      <c r="K119" s="353"/>
      <c r="L119" s="354" t="s">
        <v>61</v>
      </c>
    </row>
    <row r="120" ht="7.5" customHeight="1">
      <c r="A120" s="370"/>
      <c r="B120" s="370"/>
      <c r="C120" s="371"/>
      <c r="D120" s="371"/>
      <c r="E120" s="372"/>
      <c r="F120" s="373"/>
      <c r="G120" s="374"/>
      <c r="H120" s="375"/>
      <c r="I120" s="374"/>
      <c r="J120" s="370"/>
      <c r="K120" s="375"/>
      <c r="L120" s="370"/>
    </row>
    <row r="121" ht="17.25" customHeight="1">
      <c r="A121" s="347" t="s">
        <v>351</v>
      </c>
      <c r="B121" s="348" t="s">
        <v>352</v>
      </c>
      <c r="C121" s="364" t="s">
        <v>31</v>
      </c>
      <c r="D121" s="364" t="s">
        <v>32</v>
      </c>
      <c r="E121" s="363" t="str">
        <f>HYPERLINK("https://www.reddit.com/r/RMTK/comments/djsqad/m0114_motie_omtrent_het_mogelijke_finse/","Motie omtrent het mogelijke Finse lidmaatschap van de NAVO")</f>
        <v>Motie omtrent het mogelijke Finse lidmaatschap van de NAVO</v>
      </c>
      <c r="F121" s="351"/>
      <c r="G121" s="402" t="s">
        <v>166</v>
      </c>
      <c r="H121" s="351"/>
      <c r="I121" s="252" t="s">
        <v>353</v>
      </c>
      <c r="J121" s="352" t="s">
        <v>267</v>
      </c>
      <c r="K121" s="353"/>
      <c r="L121" s="354" t="s">
        <v>61</v>
      </c>
    </row>
    <row r="122" ht="17.25" customHeight="1">
      <c r="B122" s="348" t="s">
        <v>354</v>
      </c>
      <c r="C122" s="364" t="s">
        <v>31</v>
      </c>
      <c r="D122" s="364" t="s">
        <v>32</v>
      </c>
      <c r="E122" s="404" t="str">
        <f>HYPERLINK("https://www.reddit.com/r/RMTK/comments/dkz8sk/m0115_motie_van_treurnis_omtrent_de_voornemens/","Motie van treurnis omtrent de voornemens van het kabinet over KB0011 en W0009")</f>
        <v>Motie van treurnis omtrent de voornemens van het kabinet over KB0011 en W0009</v>
      </c>
      <c r="F122" s="351"/>
      <c r="G122" s="402" t="s">
        <v>166</v>
      </c>
      <c r="H122" s="351"/>
      <c r="I122" s="252" t="s">
        <v>173</v>
      </c>
      <c r="J122" s="352" t="s">
        <v>267</v>
      </c>
      <c r="K122" s="353"/>
      <c r="L122" s="354" t="s">
        <v>61</v>
      </c>
    </row>
    <row r="123" ht="17.25" customHeight="1">
      <c r="B123" s="348" t="s">
        <v>355</v>
      </c>
      <c r="C123" s="364" t="s">
        <v>31</v>
      </c>
      <c r="D123" s="364" t="s">
        <v>111</v>
      </c>
      <c r="E123" s="363" t="str">
        <f>hyperlink("https://www.reddit.com/r/RMTK/comments/dml67f/m0116_motie_tot_verlaging_van_de_aowleeftijd_naar/?","Motie tot verlaging van de AOW-leeftijd naar 65 jaar")</f>
        <v>Motie tot verlaging van de AOW-leeftijd naar 65 jaar</v>
      </c>
      <c r="F123" s="351"/>
      <c r="G123" s="402" t="s">
        <v>166</v>
      </c>
      <c r="H123" s="351"/>
      <c r="I123" s="252" t="s">
        <v>356</v>
      </c>
      <c r="J123" s="352" t="s">
        <v>267</v>
      </c>
      <c r="K123" s="353"/>
      <c r="L123" s="354" t="s">
        <v>61</v>
      </c>
    </row>
    <row r="124" ht="17.25" customHeight="1">
      <c r="B124" s="348" t="s">
        <v>357</v>
      </c>
      <c r="C124" s="364" t="s">
        <v>31</v>
      </c>
      <c r="D124" s="364" t="s">
        <v>111</v>
      </c>
      <c r="E124" s="363" t="str">
        <f>HYPERLINK("https://www.reddit.com/r/RMTK/comments/dotujc/m0117_motie_omtrent_een_bindend_correctief/","Motie omtrent een bindend correctief referendum")</f>
        <v>Motie omtrent een bindend correctief referendum</v>
      </c>
      <c r="F124" s="351"/>
      <c r="G124" s="402" t="s">
        <v>166</v>
      </c>
      <c r="H124" s="351"/>
      <c r="I124" s="252" t="s">
        <v>358</v>
      </c>
      <c r="J124" s="354" t="s">
        <v>180</v>
      </c>
      <c r="K124" s="353"/>
      <c r="L124" s="354" t="s">
        <v>61</v>
      </c>
    </row>
    <row r="125" ht="17.25" customHeight="1">
      <c r="B125" s="348" t="s">
        <v>359</v>
      </c>
      <c r="C125" s="389" t="s">
        <v>255</v>
      </c>
      <c r="D125" s="389" t="s">
        <v>48</v>
      </c>
      <c r="E125" s="363" t="str">
        <f>HYPERLINK("https://www.reddit.com/r/RMTK/comments/dp857b/m0118_motie_tot_het_maken_van_een_vrije_dag_van/","Motie tot het maken van een vrije dag van Bevrijdingsdag")</f>
        <v>Motie tot het maken van een vrije dag van Bevrijdingsdag</v>
      </c>
      <c r="F125" s="351"/>
      <c r="G125" s="402" t="s">
        <v>166</v>
      </c>
      <c r="H125" s="351"/>
      <c r="I125" s="252" t="s">
        <v>173</v>
      </c>
      <c r="J125" s="391" t="str">
        <f>HYPERLINK("https://www.reddit.com/r/RMTK/comments/eo3tv9/w0062_wet_tot_het_samenvoegen_van_de_rustwetten/","Ja")</f>
        <v>Ja</v>
      </c>
      <c r="K125" s="353"/>
      <c r="L125" s="354" t="s">
        <v>61</v>
      </c>
    </row>
    <row r="126" ht="17.25" customHeight="1">
      <c r="B126" s="348" t="s">
        <v>360</v>
      </c>
      <c r="C126" s="405" t="s">
        <v>36</v>
      </c>
      <c r="D126" s="405" t="s">
        <v>176</v>
      </c>
      <c r="E126" s="363" t="str">
        <f>HYPERLINK("https://www.reddit.com/r/RMTK/comments/dpnpjp/m0119_motie_tot_toevoeging/","Motie tot toevoeging telecommunicatiebedrijven van de Volksrepubliek China op de lijst van W0007-I")</f>
        <v>Motie tot toevoeging telecommunicatiebedrijven van de Volksrepubliek China op de lijst van W0007-I</v>
      </c>
      <c r="F126" s="351"/>
      <c r="G126" s="402" t="s">
        <v>166</v>
      </c>
      <c r="H126" s="351"/>
      <c r="I126" s="252" t="s">
        <v>361</v>
      </c>
      <c r="J126" s="352" t="s">
        <v>267</v>
      </c>
      <c r="K126" s="353"/>
      <c r="L126" s="354" t="s">
        <v>61</v>
      </c>
    </row>
    <row r="127" ht="17.25" customHeight="1">
      <c r="B127" s="348" t="s">
        <v>362</v>
      </c>
      <c r="C127" s="403" t="s">
        <v>333</v>
      </c>
      <c r="D127" s="403" t="s">
        <v>106</v>
      </c>
      <c r="E127" s="363" t="str">
        <f>HYPERLINK("https://www.reddit.com/r/RMTK/comments/drl0sa/m0120_motie_tot_de_aanpak_van_intensieve/","Motie tot de aanpak van intensieve veehouderij")</f>
        <v>Motie tot de aanpak van intensieve veehouderij</v>
      </c>
      <c r="F127" s="351"/>
      <c r="G127" s="402" t="s">
        <v>166</v>
      </c>
      <c r="H127" s="351"/>
      <c r="I127" s="252" t="s">
        <v>363</v>
      </c>
      <c r="J127" s="354" t="s">
        <v>180</v>
      </c>
      <c r="K127" s="353"/>
      <c r="L127" s="354" t="s">
        <v>61</v>
      </c>
    </row>
    <row r="128" ht="17.25" customHeight="1">
      <c r="B128" s="348" t="s">
        <v>364</v>
      </c>
      <c r="C128" s="405" t="s">
        <v>36</v>
      </c>
      <c r="D128" s="405" t="s">
        <v>37</v>
      </c>
      <c r="E128" s="363" t="str">
        <f>HYPERLINK("https://www.reddit.com/r/RMTK/comments/dt2s9z/m0121_motie_aangaande_het_opschorten_van_het/","Motie aangaande het opschorten van het kandidaat-lidmaatschap voor de Europese Unie van de Republiek Turkije")</f>
        <v>Motie aangaande het opschorten van het kandidaat-lidmaatschap voor de Europese Unie van de Republiek Turkije</v>
      </c>
      <c r="F128" s="351"/>
      <c r="G128" s="402" t="s">
        <v>166</v>
      </c>
      <c r="H128" s="351"/>
      <c r="I128" s="252" t="s">
        <v>361</v>
      </c>
      <c r="J128" s="354" t="s">
        <v>180</v>
      </c>
      <c r="K128" s="353"/>
      <c r="L128" s="354" t="s">
        <v>61</v>
      </c>
    </row>
    <row r="129" ht="17.25" customHeight="1">
      <c r="B129" s="348" t="s">
        <v>365</v>
      </c>
      <c r="C129" s="403" t="s">
        <v>333</v>
      </c>
      <c r="D129" s="403" t="s">
        <v>106</v>
      </c>
      <c r="E129" s="363" t="str">
        <f>HYPERLINK("https://www.reddit.com/r/RMTK/comments/duvmyy/m0122_motie_tot_een_totaalverbod_op/","Motie tot een totaalverbod op gezichtsherkenningssoftware voor bepaalde doeleinden")</f>
        <v>Motie tot een totaalverbod op gezichtsherkenningssoftware voor bepaalde doeleinden</v>
      </c>
      <c r="F129" s="351"/>
      <c r="G129" s="402" t="s">
        <v>166</v>
      </c>
      <c r="H129" s="351"/>
      <c r="I129" s="252" t="s">
        <v>353</v>
      </c>
      <c r="J129" s="354" t="s">
        <v>180</v>
      </c>
      <c r="K129" s="353"/>
      <c r="L129" s="354" t="s">
        <v>61</v>
      </c>
    </row>
    <row r="130" ht="17.25" customHeight="1">
      <c r="B130" s="348" t="s">
        <v>366</v>
      </c>
      <c r="C130" s="400" t="s">
        <v>320</v>
      </c>
      <c r="D130" s="400" t="s">
        <v>294</v>
      </c>
      <c r="E130" s="406" t="str">
        <f>HYPERLINK("https://www.reddit.com/r/RMTK/comments/dxmw5w/m0123_motie_van_afkeuring_jegens_het_presidium/","Motie van Afkeuring jegens het Presidium")</f>
        <v>Motie van Afkeuring jegens het Presidium</v>
      </c>
      <c r="F130" s="351"/>
      <c r="G130" s="352" t="s">
        <v>163</v>
      </c>
      <c r="H130" s="351"/>
      <c r="I130" s="252" t="s">
        <v>61</v>
      </c>
      <c r="J130" s="354" t="s">
        <v>118</v>
      </c>
      <c r="K130" s="353"/>
      <c r="L130" s="354" t="s">
        <v>61</v>
      </c>
    </row>
    <row r="131" ht="17.25" customHeight="1">
      <c r="B131" s="348" t="s">
        <v>367</v>
      </c>
      <c r="C131" s="400" t="s">
        <v>320</v>
      </c>
      <c r="D131" s="400" t="s">
        <v>294</v>
      </c>
      <c r="E131" s="363" t="str">
        <f>HYPERLINK("https://www.reddit.com/r/RMTK/comments/dynhk0/m0124_motie_tot_onderzoek_naar_gedecentraliseerde/","Motie tot onderzoek naar gedecentraliseerde data voor gemeenteraadsverkiezingen")</f>
        <v>Motie tot onderzoek naar gedecentraliseerde data voor gemeenteraadsverkiezingen</v>
      </c>
      <c r="F131" s="351"/>
      <c r="G131" s="402" t="s">
        <v>166</v>
      </c>
      <c r="H131" s="351"/>
      <c r="I131" s="252" t="s">
        <v>358</v>
      </c>
      <c r="J131" s="354" t="s">
        <v>180</v>
      </c>
      <c r="K131" s="353"/>
      <c r="L131" s="354" t="s">
        <v>61</v>
      </c>
    </row>
    <row r="132" ht="17.25" customHeight="1">
      <c r="B132" s="348" t="s">
        <v>368</v>
      </c>
      <c r="C132" s="364" t="s">
        <v>31</v>
      </c>
      <c r="D132" s="364" t="s">
        <v>32</v>
      </c>
      <c r="E132" s="363" t="str">
        <f>hyperlink("https://www.reddit.com/r/RMTK/comments/dz8jqi/m0125_motie_tot_terughalen_irak_en_syri%C3%ABgangers/","Motie tot terughalen Irak- en Syriëgangers")</f>
        <v>Motie tot terughalen Irak- en Syriëgangers</v>
      </c>
      <c r="F132" s="351"/>
      <c r="G132" s="402" t="s">
        <v>166</v>
      </c>
      <c r="H132" s="351"/>
      <c r="I132" s="252" t="s">
        <v>361</v>
      </c>
      <c r="J132" s="354" t="s">
        <v>180</v>
      </c>
      <c r="K132" s="353"/>
      <c r="L132" s="354" t="s">
        <v>61</v>
      </c>
    </row>
    <row r="133" ht="17.25" customHeight="1">
      <c r="B133" s="348" t="s">
        <v>369</v>
      </c>
      <c r="C133" s="403" t="s">
        <v>333</v>
      </c>
      <c r="D133" s="403" t="s">
        <v>106</v>
      </c>
      <c r="E133" s="407" t="str">
        <f>hyperlink("https://www.reddit.com/r/RMTK/comments/e1jtyu/m0126_motie_tot_opzetten_stimuleringsfonds/","Motie tot opzetten stimuleringsfonds encryptie en betere verankering van encryptie")</f>
        <v>Motie tot opzetten stimuleringsfonds encryptie en betere verankering van encryptie</v>
      </c>
      <c r="F133" s="351"/>
      <c r="G133" s="402" t="s">
        <v>166</v>
      </c>
      <c r="H133" s="351"/>
      <c r="I133" s="252" t="s">
        <v>356</v>
      </c>
      <c r="J133" s="354" t="s">
        <v>180</v>
      </c>
      <c r="K133" s="353"/>
      <c r="L133" s="354" t="s">
        <v>61</v>
      </c>
    </row>
    <row r="134" ht="17.25" customHeight="1">
      <c r="B134" s="348" t="s">
        <v>370</v>
      </c>
      <c r="C134" s="405" t="s">
        <v>36</v>
      </c>
      <c r="D134" s="405" t="s">
        <v>252</v>
      </c>
      <c r="E134" s="407" t="str">
        <f>hyperlink("https://www.reddit.com/r/RMTK/comments/e208vb/m0127_motie_tot_verzoek_oorlogsverklaring/","Motie tot verzoek oorlogsverklaring")</f>
        <v>Motie tot verzoek oorlogsverklaring</v>
      </c>
      <c r="F134" s="351"/>
      <c r="G134" s="402" t="s">
        <v>170</v>
      </c>
      <c r="H134" s="351"/>
      <c r="I134" s="252" t="s">
        <v>371</v>
      </c>
      <c r="J134" s="354" t="s">
        <v>118</v>
      </c>
      <c r="K134" s="353"/>
      <c r="L134" s="354" t="s">
        <v>61</v>
      </c>
    </row>
    <row r="135" ht="17.25" customHeight="1">
      <c r="B135" s="348" t="s">
        <v>372</v>
      </c>
      <c r="C135" s="403" t="s">
        <v>333</v>
      </c>
      <c r="D135" s="403" t="s">
        <v>106</v>
      </c>
      <c r="E135" s="407" t="str">
        <f>hyperlink("https://www.reddit.com/r/RMTK/comments/e2ztqm/m0128_motie_tot_een_ruimhartiger_asielbeleid/","Motie tot een ruimhartiger asielbeleid aangaande LHBTI'ers")</f>
        <v>Motie tot een ruimhartiger asielbeleid aangaande LHBTI'ers</v>
      </c>
      <c r="F135" s="351"/>
      <c r="G135" s="402" t="s">
        <v>166</v>
      </c>
      <c r="H135" s="351"/>
      <c r="I135" s="252" t="s">
        <v>373</v>
      </c>
      <c r="J135" s="354" t="s">
        <v>180</v>
      </c>
      <c r="K135" s="353"/>
      <c r="L135" s="354" t="s">
        <v>61</v>
      </c>
    </row>
    <row r="136" ht="17.25" customHeight="1">
      <c r="B136" s="348" t="s">
        <v>374</v>
      </c>
      <c r="C136" s="408" t="s">
        <v>375</v>
      </c>
      <c r="D136" s="408" t="s">
        <v>206</v>
      </c>
      <c r="E136" s="409" t="str">
        <f>hyperlink("https://www.reddit.com/r/RMTK/comments/e4zuxw/m0129_motie_omtrent_het_opruimen_van_korrels_van/","Motie omtrent het opruimen van korrels van koolstofgranulaat op Schiermonnikoog")</f>
        <v>Motie omtrent het opruimen van korrels van koolstofgranulaat op Schiermonnikoog</v>
      </c>
      <c r="F136" s="351"/>
      <c r="G136" s="402" t="s">
        <v>166</v>
      </c>
      <c r="H136" s="351"/>
      <c r="I136" s="252" t="s">
        <v>376</v>
      </c>
      <c r="J136" s="354" t="s">
        <v>180</v>
      </c>
      <c r="K136" s="353"/>
      <c r="L136" s="354" t="s">
        <v>377</v>
      </c>
    </row>
    <row r="137" ht="17.25" customHeight="1">
      <c r="B137" s="348" t="s">
        <v>378</v>
      </c>
      <c r="C137" s="364" t="s">
        <v>31</v>
      </c>
      <c r="D137" s="364" t="s">
        <v>32</v>
      </c>
      <c r="E137" s="410" t="str">
        <f>hyperlink("https://www.reddit.com/r/RMTK/comments/dzpvs1/m0130_motie_van_wantrouwen_jegens_kabinet_house/","Motie van wantrouwen jegens Kabinet House_of_Farts-I")</f>
        <v>Motie van wantrouwen jegens Kabinet House_of_Farts-I</v>
      </c>
      <c r="F137" s="351"/>
      <c r="G137" s="411" t="s">
        <v>286</v>
      </c>
      <c r="H137" s="351"/>
      <c r="I137" s="252" t="s">
        <v>173</v>
      </c>
      <c r="J137" s="354" t="s">
        <v>118</v>
      </c>
      <c r="K137" s="353"/>
      <c r="L137" s="354" t="s">
        <v>379</v>
      </c>
    </row>
    <row r="138" ht="7.5" customHeight="1">
      <c r="A138" s="370"/>
      <c r="B138" s="370"/>
      <c r="C138" s="371"/>
      <c r="D138" s="371"/>
      <c r="E138" s="372"/>
      <c r="F138" s="373"/>
      <c r="G138" s="374"/>
      <c r="H138" s="375"/>
      <c r="I138" s="374"/>
      <c r="J138" s="370"/>
      <c r="K138" s="375"/>
      <c r="L138" s="370"/>
    </row>
    <row r="139" ht="17.25" customHeight="1">
      <c r="A139" s="347" t="s">
        <v>380</v>
      </c>
      <c r="B139" s="348" t="s">
        <v>381</v>
      </c>
      <c r="C139" s="403" t="s">
        <v>333</v>
      </c>
      <c r="D139" s="403" t="s">
        <v>106</v>
      </c>
      <c r="E139" s="407" t="str">
        <f>hyperlink("https://www.reddit.com/r/RMTK/comments/e5hzkw/m0131_motie_tot_het_instellen_van_een_meldplicht/","Motie tot het instellen van een meldplicht voor discriminerende verzoeken aan uitzendbureau's")</f>
        <v>Motie tot het instellen van een meldplicht voor discriminerende verzoeken aan uitzendbureau's</v>
      </c>
      <c r="F139" s="351"/>
      <c r="G139" s="402" t="s">
        <v>166</v>
      </c>
      <c r="H139" s="351"/>
      <c r="I139" s="252" t="s">
        <v>358</v>
      </c>
      <c r="J139" s="354" t="s">
        <v>180</v>
      </c>
      <c r="K139" s="353"/>
      <c r="L139" s="354" t="s">
        <v>382</v>
      </c>
    </row>
    <row r="140" ht="17.25" customHeight="1">
      <c r="B140" s="348" t="s">
        <v>383</v>
      </c>
      <c r="C140" s="364" t="s">
        <v>31</v>
      </c>
      <c r="D140" s="364" t="s">
        <v>32</v>
      </c>
      <c r="E140" s="383" t="str">
        <f>HYPERLINK("https://www.reddit.com/r/RMTK/comments/ecd9jh/m0132_motie_van_afkeuring_tegen_de_voorzitter/","Motie van afkeuring tegen de voorzitter")</f>
        <v>Motie van afkeuring tegen de voorzitter</v>
      </c>
      <c r="F140" s="351"/>
      <c r="G140" s="402" t="s">
        <v>170</v>
      </c>
      <c r="H140" s="351"/>
      <c r="I140" s="252" t="s">
        <v>191</v>
      </c>
      <c r="J140" s="354" t="s">
        <v>118</v>
      </c>
      <c r="K140" s="353"/>
      <c r="L140" s="354" t="s">
        <v>61</v>
      </c>
    </row>
    <row r="141" ht="17.25" customHeight="1">
      <c r="B141" s="348" t="s">
        <v>384</v>
      </c>
      <c r="C141" s="364" t="s">
        <v>31</v>
      </c>
      <c r="D141" s="364" t="s">
        <v>32</v>
      </c>
      <c r="E141" s="363" t="str">
        <f>HYPERLINK("https://www.reddit.com/r/RMTK/comments/ecsj9d/m0133_motie_tot_erkenning_armeense_genocide/","Motie tot erkenning Armeense genocide")</f>
        <v>Motie tot erkenning Armeense genocide</v>
      </c>
      <c r="F141" s="351"/>
      <c r="G141" s="402" t="s">
        <v>166</v>
      </c>
      <c r="H141" s="351"/>
      <c r="I141" s="252" t="s">
        <v>385</v>
      </c>
      <c r="J141" s="354" t="s">
        <v>180</v>
      </c>
      <c r="K141" s="353"/>
      <c r="L141" s="354" t="s">
        <v>61</v>
      </c>
    </row>
    <row r="142" ht="17.25" customHeight="1">
      <c r="B142" s="348" t="s">
        <v>386</v>
      </c>
      <c r="C142" s="364" t="s">
        <v>31</v>
      </c>
      <c r="D142" s="364" t="s">
        <v>32</v>
      </c>
      <c r="E142" s="363" t="str">
        <f>HYPERLINK("https://www.reddit.com/r/RMTK/comments/edxhs2/m0134_motie_tot_erkenning_van_de_genocide_op_de/","Motie tot erkenning van de genocide op de inheemsen van de Verenigde Staten")</f>
        <v>Motie tot erkenning van de genocide op de inheemsen van de Verenigde Staten</v>
      </c>
      <c r="F142" s="351"/>
      <c r="G142" s="402" t="s">
        <v>166</v>
      </c>
      <c r="H142" s="351"/>
      <c r="I142" s="252" t="s">
        <v>385</v>
      </c>
      <c r="J142" s="354" t="s">
        <v>180</v>
      </c>
      <c r="K142" s="353"/>
      <c r="L142" s="354" t="s">
        <v>61</v>
      </c>
    </row>
    <row r="143" ht="17.25" customHeight="1">
      <c r="B143" s="348" t="s">
        <v>387</v>
      </c>
      <c r="C143" s="364" t="s">
        <v>31</v>
      </c>
      <c r="D143" s="364" t="s">
        <v>112</v>
      </c>
      <c r="E143" s="363" t="str">
        <f>HYPERLINK("https://www.reddit.com/r/RMTK/comments/eixzgh/m0135_motie_tot_het_gratis_maken_van/","Motie tot het gratis maken van bibliotheeklidmaatschappen")</f>
        <v>Motie tot het gratis maken van bibliotheeklidmaatschappen</v>
      </c>
      <c r="F143" s="351"/>
      <c r="G143" s="402" t="s">
        <v>166</v>
      </c>
      <c r="H143" s="351"/>
      <c r="I143" s="252" t="s">
        <v>216</v>
      </c>
      <c r="J143" s="412" t="str">
        <f>hyperlink("https://www.reddit.com/r/RMTK/comments/f71ubr/w0072_wet_tot_inkomensafhankelijke_regeling/","Ja")</f>
        <v>Ja</v>
      </c>
      <c r="K143" s="353"/>
      <c r="L143" s="354" t="s">
        <v>61</v>
      </c>
    </row>
    <row r="144" ht="17.25" customHeight="1">
      <c r="B144" s="348" t="s">
        <v>388</v>
      </c>
      <c r="C144" s="364" t="s">
        <v>31</v>
      </c>
      <c r="D144" s="364" t="s">
        <v>32</v>
      </c>
      <c r="E144" s="363" t="str">
        <f>HYPERLINK("https://www.reddit.com/r/RMTK/comments/emrfn7/m0136_motie_tot_terugtrekking_van_amerikaanse/","Motie tot terugtrekking van Amerikaanse soldaten uit Nederland")</f>
        <v>Motie tot terugtrekking van Amerikaanse soldaten uit Nederland</v>
      </c>
      <c r="F144" s="351"/>
      <c r="G144" s="402" t="s">
        <v>166</v>
      </c>
      <c r="H144" s="351"/>
      <c r="I144" s="252" t="s">
        <v>385</v>
      </c>
      <c r="J144" s="412" t="str">
        <f>HYPERLINK("https://www.reddit.com/r/RMTK/comments/f7adfd/ks0049_kamerbrief_stand_van_zaken_aanpassing/","Ja")</f>
        <v>Ja</v>
      </c>
      <c r="K144" s="353"/>
      <c r="L144" s="354" t="s">
        <v>61</v>
      </c>
    </row>
    <row r="145" ht="17.25" customHeight="1">
      <c r="B145" s="348" t="s">
        <v>389</v>
      </c>
      <c r="C145" s="364" t="s">
        <v>31</v>
      </c>
      <c r="D145" s="364" t="s">
        <v>111</v>
      </c>
      <c r="E145" s="363" t="str">
        <f>HYPERLINK("https://www.reddit.com/r/RMTK/comments/ep21sj/m0137_motie_tot_het_goedkoper_maken_van_de/","Motie tot het goedkoper maken van de kinderopvang voor ouders")</f>
        <v>Motie tot het goedkoper maken van de kinderopvang voor ouders</v>
      </c>
      <c r="F145" s="351"/>
      <c r="G145" s="402" t="s">
        <v>166</v>
      </c>
      <c r="H145" s="351"/>
      <c r="I145" s="252" t="s">
        <v>253</v>
      </c>
      <c r="J145" s="354" t="s">
        <v>180</v>
      </c>
      <c r="K145" s="353"/>
      <c r="L145" s="354" t="s">
        <v>61</v>
      </c>
    </row>
    <row r="146" ht="17.25" customHeight="1">
      <c r="B146" s="348" t="s">
        <v>390</v>
      </c>
      <c r="C146" s="389" t="s">
        <v>255</v>
      </c>
      <c r="D146" s="389" t="s">
        <v>48</v>
      </c>
      <c r="E146" s="363" t="str">
        <f>HYPERLINK("https://www.reddit.com/r/RMTK/comments/epj1fz/m0138_motie_tot_het_steunen_van_iraanse/","Motie tot het steunen van Iraanse demonstranten")</f>
        <v>Motie tot het steunen van Iraanse demonstranten</v>
      </c>
      <c r="F146" s="351"/>
      <c r="G146" s="402" t="s">
        <v>170</v>
      </c>
      <c r="H146" s="351"/>
      <c r="I146" s="252" t="s">
        <v>385</v>
      </c>
      <c r="J146" s="354" t="s">
        <v>118</v>
      </c>
      <c r="K146" s="353"/>
      <c r="L146" s="354" t="s">
        <v>61</v>
      </c>
    </row>
    <row r="147" ht="17.25" customHeight="1">
      <c r="B147" s="348" t="s">
        <v>391</v>
      </c>
      <c r="C147" s="413" t="s">
        <v>36</v>
      </c>
      <c r="D147" s="413" t="s">
        <v>176</v>
      </c>
      <c r="E147" s="363" t="str">
        <f>HYPERLINK("https://www.reddit.com/r/RMTK/comments/epj1g9/m0139_motie_tot_verhoging_maximumsnelheid/","Motie tot verhoging maximumsnelheid")</f>
        <v>Motie tot verhoging maximumsnelheid</v>
      </c>
      <c r="F147" s="351"/>
      <c r="G147" s="402" t="s">
        <v>170</v>
      </c>
      <c r="H147" s="351"/>
      <c r="I147" s="252" t="s">
        <v>376</v>
      </c>
      <c r="J147" s="354" t="s">
        <v>118</v>
      </c>
      <c r="K147" s="353"/>
      <c r="L147" s="354" t="s">
        <v>61</v>
      </c>
    </row>
    <row r="148" ht="17.25" customHeight="1">
      <c r="B148" s="348" t="s">
        <v>392</v>
      </c>
      <c r="C148" s="414" t="s">
        <v>115</v>
      </c>
      <c r="D148" s="414" t="s">
        <v>116</v>
      </c>
      <c r="E148" s="363" t="str">
        <f>HYPERLINK("https://www.reddit.com/r/RMTK/comments/ercxen/m0140_motie_tot_het_behouden_van_het_friese/","Motie tot het behouden van het Friese elfstedentochtformat")</f>
        <v>Motie tot het behouden van het Friese elfstedentochtformat</v>
      </c>
      <c r="F148" s="351"/>
      <c r="G148" s="402" t="s">
        <v>166</v>
      </c>
      <c r="H148" s="351"/>
      <c r="I148" s="252" t="s">
        <v>216</v>
      </c>
      <c r="J148" s="415" t="s">
        <v>180</v>
      </c>
      <c r="K148" s="353"/>
      <c r="L148" s="354" t="s">
        <v>61</v>
      </c>
    </row>
    <row r="149" ht="17.25" customHeight="1">
      <c r="B149" s="348" t="s">
        <v>393</v>
      </c>
      <c r="C149" s="413" t="s">
        <v>36</v>
      </c>
      <c r="D149" s="413" t="s">
        <v>176</v>
      </c>
      <c r="E149" s="363" t="str">
        <f>HYPERLINK("https://www.reddit.com/r/RMTK/comments/esblyw/m0141_motie_tot_verbreding_staatsieportret_van/","Motie tot verbreding staatsieportret van diverse staatspersonen")</f>
        <v>Motie tot verbreding staatsieportret van diverse staatspersonen</v>
      </c>
      <c r="F149" s="351"/>
      <c r="G149" s="402" t="s">
        <v>170</v>
      </c>
      <c r="H149" s="351"/>
      <c r="I149" s="252" t="s">
        <v>173</v>
      </c>
      <c r="J149" s="354" t="s">
        <v>118</v>
      </c>
      <c r="K149" s="353"/>
      <c r="L149" s="354" t="s">
        <v>61</v>
      </c>
    </row>
    <row r="150" ht="17.25" customHeight="1">
      <c r="B150" s="348" t="s">
        <v>394</v>
      </c>
      <c r="C150" s="364" t="s">
        <v>31</v>
      </c>
      <c r="D150" s="364" t="s">
        <v>32</v>
      </c>
      <c r="E150" s="395" t="str">
        <f>HYPERLINK("https://www.reddit.com/r/RMTK/comments/eun0nv/m0142_motie_tot_erkenning_van_de_palestijnse_staat/","Motie tot erkenning van de Palestijnse staat")</f>
        <v>Motie tot erkenning van de Palestijnse staat</v>
      </c>
      <c r="F150" s="351"/>
      <c r="G150" s="416" t="s">
        <v>163</v>
      </c>
      <c r="H150" s="351"/>
      <c r="I150" s="252" t="s">
        <v>385</v>
      </c>
      <c r="J150" s="354" t="s">
        <v>118</v>
      </c>
      <c r="K150" s="353"/>
      <c r="L150" s="354" t="s">
        <v>61</v>
      </c>
    </row>
    <row r="151" ht="17.25" customHeight="1">
      <c r="B151" s="348" t="s">
        <v>395</v>
      </c>
      <c r="C151" s="364" t="s">
        <v>31</v>
      </c>
      <c r="D151" s="364" t="s">
        <v>32</v>
      </c>
      <c r="E151" s="363" t="str">
        <f>hyperlink("https://www.reddit.com/r/RMTK/comments/ez8jds/m0143_motie_tot_vestiging_nederlandse_ambassade/","Motie tot vestiging Nederlandse ambassade in de Palestijnse staat")</f>
        <v>Motie tot vestiging Nederlandse ambassade in de Palestijnse staat</v>
      </c>
      <c r="F151" s="351"/>
      <c r="G151" s="402" t="s">
        <v>166</v>
      </c>
      <c r="H151" s="351"/>
      <c r="I151" s="252" t="s">
        <v>385</v>
      </c>
      <c r="J151" s="354" t="s">
        <v>180</v>
      </c>
      <c r="K151" s="353"/>
      <c r="L151" s="354" t="s">
        <v>61</v>
      </c>
    </row>
    <row r="152" ht="17.25" customHeight="1">
      <c r="B152" s="348" t="s">
        <v>396</v>
      </c>
      <c r="C152" s="414" t="s">
        <v>115</v>
      </c>
      <c r="D152" s="414" t="s">
        <v>116</v>
      </c>
      <c r="E152" s="363" t="str">
        <f>hyperlink("https://www.reddit.com/r/RMTK/comments/ewsp2r/m0144_motie_tot_onderzoek_naar_de_mogelijkheid/","Motie tot onderzoek naar de mogelijkheid van energiewinning van de Zuidwalvulkaan")</f>
        <v>Motie tot onderzoek naar de mogelijkheid van energiewinning van de Zuidwalvulkaan</v>
      </c>
      <c r="F152" s="351"/>
      <c r="G152" s="402" t="s">
        <v>166</v>
      </c>
      <c r="H152" s="351"/>
      <c r="I152" s="252" t="s">
        <v>216</v>
      </c>
      <c r="J152" s="417" t="s">
        <v>267</v>
      </c>
      <c r="K152" s="353"/>
      <c r="L152" s="354" t="s">
        <v>61</v>
      </c>
    </row>
    <row r="153" ht="17.25" customHeight="1">
      <c r="B153" s="348" t="s">
        <v>397</v>
      </c>
      <c r="C153" s="364" t="s">
        <v>31</v>
      </c>
      <c r="D153" s="364" t="s">
        <v>32</v>
      </c>
      <c r="E153" s="363" t="str">
        <f>hyperlink("https://www.reddit.com/r/RMTK/comments/f1zkdu/m0145_motie_tot_het_oprichten_van_een_permanent/","Motie tot het oprichten van een permanent punt voor het inleveren van wapens")</f>
        <v>Motie tot het oprichten van een permanent punt voor het inleveren van wapens</v>
      </c>
      <c r="F153" s="351"/>
      <c r="G153" s="402" t="s">
        <v>166</v>
      </c>
      <c r="H153" s="351"/>
      <c r="I153" s="252" t="s">
        <v>358</v>
      </c>
      <c r="J153" s="354" t="s">
        <v>180</v>
      </c>
      <c r="K153" s="353"/>
      <c r="L153" s="354" t="s">
        <v>61</v>
      </c>
    </row>
    <row r="154" ht="17.25" customHeight="1">
      <c r="B154" s="348" t="s">
        <v>398</v>
      </c>
      <c r="C154" s="364" t="s">
        <v>31</v>
      </c>
      <c r="D154" s="364" t="s">
        <v>32</v>
      </c>
      <c r="E154" s="363" t="str">
        <f>hyperlink("https://www.reddit.com/r/RMTK/comments/f99ym2/m0146_motie_tot_negatief_reisadvies_naar/","Motie tot negatief reisadvies naar Noord-Italië")</f>
        <v>Motie tot negatief reisadvies naar Noord-Italië</v>
      </c>
      <c r="F154" s="351"/>
      <c r="G154" s="402" t="s">
        <v>166</v>
      </c>
      <c r="H154" s="351"/>
      <c r="I154" s="252" t="s">
        <v>253</v>
      </c>
      <c r="J154" s="354" t="s">
        <v>118</v>
      </c>
      <c r="K154" s="353"/>
      <c r="L154" s="354" t="s">
        <v>61</v>
      </c>
    </row>
    <row r="155" ht="17.25" customHeight="1">
      <c r="B155" s="348" t="s">
        <v>399</v>
      </c>
      <c r="C155" s="364" t="s">
        <v>31</v>
      </c>
      <c r="D155" s="364" t="s">
        <v>32</v>
      </c>
      <c r="E155" s="363" t="str">
        <f>HYPERLINK("https://www.reddit.com/r/RMTK/comments/falkwf/m0146_motie_tot_het_afschaffen_van_de_permanente/","Motie tot het afschaffen van de permanente identificatie plicht")</f>
        <v>Motie tot het afschaffen van de permanente identificatie plicht</v>
      </c>
      <c r="F155" s="351"/>
      <c r="G155" s="402" t="s">
        <v>166</v>
      </c>
      <c r="H155" s="351"/>
      <c r="I155" s="252" t="s">
        <v>358</v>
      </c>
      <c r="J155" s="412" t="str">
        <f>hyperlink("https://www.reddit.com/r/RMTK/comments/fur4rn/w0078_intrekkingswet_wet_op_de_identificatieplicht/","Ja")</f>
        <v>Ja</v>
      </c>
      <c r="K155" s="353"/>
      <c r="L155" s="354" t="s">
        <v>61</v>
      </c>
    </row>
    <row r="156" ht="17.25" customHeight="1">
      <c r="B156" s="348" t="s">
        <v>400</v>
      </c>
      <c r="C156" s="377" t="s">
        <v>214</v>
      </c>
      <c r="D156" s="377" t="s">
        <v>401</v>
      </c>
      <c r="E156" s="363" t="str">
        <f>HYPERLINK("https://www.reddit.com/r/RMTK/comments/fc37je/m0148_motie_tot_het_in_werking_doen_treden_van/","Motie tot het in werking doen treden van buitengewone bevoegdheden van het burgerlijk gezag")</f>
        <v>Motie tot het in werking doen treden van buitengewone bevoegdheden van het burgerlijk gezag</v>
      </c>
      <c r="F156" s="351"/>
      <c r="G156" s="402" t="s">
        <v>170</v>
      </c>
      <c r="H156" s="351"/>
      <c r="I156" s="252" t="s">
        <v>253</v>
      </c>
      <c r="J156" s="354" t="s">
        <v>118</v>
      </c>
      <c r="K156" s="353"/>
      <c r="L156" s="354" t="s">
        <v>61</v>
      </c>
    </row>
    <row r="157" ht="7.5" customHeight="1">
      <c r="A157" s="370"/>
      <c r="B157" s="370"/>
      <c r="C157" s="371"/>
      <c r="D157" s="418"/>
      <c r="E157" s="419"/>
      <c r="F157" s="373"/>
      <c r="G157" s="374"/>
      <c r="H157" s="375"/>
      <c r="I157" s="374"/>
      <c r="J157" s="370"/>
      <c r="K157" s="375"/>
      <c r="L157" s="370"/>
    </row>
    <row r="158" ht="17.25" customHeight="1">
      <c r="A158" s="420" t="s">
        <v>402</v>
      </c>
      <c r="B158" s="421" t="s">
        <v>403</v>
      </c>
      <c r="C158" s="414" t="s">
        <v>115</v>
      </c>
      <c r="D158" s="414" t="s">
        <v>116</v>
      </c>
      <c r="E158" s="422" t="str">
        <f>HYPERLINK("https://www.reddit.com/r/RMTK/comments/ftq0uh/m0149_motie_tot_het_uitvoeren_van_motie_0140_en/","Motie tot het uitvoeren van motie 0140 en motie 0144")</f>
        <v>Motie tot het uitvoeren van motie 0140 en motie 0144</v>
      </c>
      <c r="F158" s="351"/>
      <c r="G158" s="402" t="s">
        <v>166</v>
      </c>
      <c r="H158" s="351"/>
      <c r="I158" s="252" t="s">
        <v>173</v>
      </c>
      <c r="J158" s="417" t="s">
        <v>267</v>
      </c>
      <c r="K158" s="353"/>
      <c r="L158" s="354" t="s">
        <v>61</v>
      </c>
    </row>
    <row r="159" ht="17.25" customHeight="1">
      <c r="B159" s="421" t="s">
        <v>404</v>
      </c>
      <c r="C159" s="423" t="s">
        <v>31</v>
      </c>
      <c r="D159" s="423" t="s">
        <v>32</v>
      </c>
      <c r="E159" s="424" t="s">
        <v>405</v>
      </c>
      <c r="F159" s="351"/>
      <c r="G159" s="402" t="s">
        <v>166</v>
      </c>
      <c r="H159" s="351"/>
      <c r="I159" s="252" t="s">
        <v>358</v>
      </c>
      <c r="J159" s="412" t="str">
        <f>hyperlink("https://www.reddit.com/r/RMTK/g2wxl7/","Ja")</f>
        <v>Ja</v>
      </c>
      <c r="K159" s="353"/>
      <c r="L159" s="354" t="s">
        <v>61</v>
      </c>
    </row>
    <row r="160" ht="17.25" customHeight="1">
      <c r="B160" s="421" t="s">
        <v>406</v>
      </c>
      <c r="C160" s="425" t="s">
        <v>36</v>
      </c>
      <c r="D160" s="413" t="s">
        <v>48</v>
      </c>
      <c r="E160" s="426" t="s">
        <v>407</v>
      </c>
      <c r="F160" s="351"/>
      <c r="G160" s="411" t="s">
        <v>163</v>
      </c>
      <c r="H160" s="351"/>
      <c r="I160" s="252" t="s">
        <v>218</v>
      </c>
      <c r="J160" s="354" t="s">
        <v>118</v>
      </c>
      <c r="K160" s="353"/>
      <c r="L160" s="427" t="s">
        <v>408</v>
      </c>
    </row>
    <row r="161" ht="17.25" customHeight="1">
      <c r="B161" s="421" t="s">
        <v>409</v>
      </c>
      <c r="C161" s="405" t="s">
        <v>36</v>
      </c>
      <c r="D161" s="405" t="s">
        <v>252</v>
      </c>
      <c r="E161" s="424" t="s">
        <v>410</v>
      </c>
      <c r="F161" s="351"/>
      <c r="G161" s="402" t="s">
        <v>170</v>
      </c>
      <c r="H161" s="351"/>
      <c r="I161" s="252" t="s">
        <v>173</v>
      </c>
      <c r="J161" s="354" t="s">
        <v>118</v>
      </c>
      <c r="K161" s="353"/>
      <c r="L161" s="354" t="s">
        <v>61</v>
      </c>
    </row>
    <row r="162" ht="17.25" customHeight="1">
      <c r="B162" s="421" t="s">
        <v>411</v>
      </c>
      <c r="C162" s="405" t="s">
        <v>36</v>
      </c>
      <c r="D162" s="405" t="s">
        <v>252</v>
      </c>
      <c r="E162" s="424" t="s">
        <v>412</v>
      </c>
      <c r="F162" s="351"/>
      <c r="G162" s="402" t="s">
        <v>170</v>
      </c>
      <c r="H162" s="351"/>
      <c r="I162" s="252" t="s">
        <v>173</v>
      </c>
      <c r="J162" s="354" t="s">
        <v>118</v>
      </c>
      <c r="K162" s="353"/>
      <c r="L162" s="354" t="s">
        <v>61</v>
      </c>
    </row>
    <row r="163" ht="17.25" customHeight="1">
      <c r="B163" s="421" t="s">
        <v>413</v>
      </c>
      <c r="C163" s="405" t="s">
        <v>36</v>
      </c>
      <c r="D163" s="405" t="s">
        <v>252</v>
      </c>
      <c r="E163" s="424" t="s">
        <v>414</v>
      </c>
      <c r="F163" s="351"/>
      <c r="G163" s="402" t="s">
        <v>170</v>
      </c>
      <c r="H163" s="351"/>
      <c r="I163" s="252" t="s">
        <v>173</v>
      </c>
      <c r="J163" s="354" t="s">
        <v>118</v>
      </c>
      <c r="K163" s="353"/>
      <c r="L163" s="354" t="s">
        <v>61</v>
      </c>
    </row>
    <row r="164" ht="17.25" customHeight="1">
      <c r="B164" s="421" t="s">
        <v>415</v>
      </c>
      <c r="C164" s="428" t="s">
        <v>24</v>
      </c>
      <c r="D164" s="428" t="s">
        <v>25</v>
      </c>
      <c r="E164" s="424" t="s">
        <v>416</v>
      </c>
      <c r="F164" s="351"/>
      <c r="G164" s="402" t="s">
        <v>170</v>
      </c>
      <c r="H164" s="351"/>
      <c r="I164" s="252" t="s">
        <v>173</v>
      </c>
      <c r="J164" s="354" t="s">
        <v>118</v>
      </c>
      <c r="K164" s="353"/>
      <c r="L164" s="354" t="s">
        <v>61</v>
      </c>
    </row>
    <row r="165" ht="17.25" customHeight="1">
      <c r="B165" s="421" t="s">
        <v>417</v>
      </c>
      <c r="C165" s="405" t="s">
        <v>36</v>
      </c>
      <c r="D165" s="405" t="s">
        <v>252</v>
      </c>
      <c r="E165" s="424" t="s">
        <v>418</v>
      </c>
      <c r="F165" s="351"/>
      <c r="G165" s="402" t="s">
        <v>170</v>
      </c>
      <c r="H165" s="351"/>
      <c r="I165" s="252" t="s">
        <v>216</v>
      </c>
      <c r="J165" s="354" t="s">
        <v>118</v>
      </c>
      <c r="K165" s="353"/>
      <c r="L165" s="354" t="s">
        <v>61</v>
      </c>
    </row>
    <row r="166" ht="17.25" customHeight="1">
      <c r="B166" s="421" t="s">
        <v>419</v>
      </c>
      <c r="C166" s="405" t="s">
        <v>36</v>
      </c>
      <c r="D166" s="405" t="s">
        <v>252</v>
      </c>
      <c r="E166" s="424" t="s">
        <v>420</v>
      </c>
      <c r="F166" s="351"/>
      <c r="G166" s="402" t="s">
        <v>170</v>
      </c>
      <c r="H166" s="351"/>
      <c r="I166" s="252" t="s">
        <v>173</v>
      </c>
      <c r="J166" s="354" t="s">
        <v>118</v>
      </c>
      <c r="K166" s="353"/>
      <c r="L166" s="354" t="s">
        <v>61</v>
      </c>
    </row>
    <row r="167" ht="17.25" customHeight="1">
      <c r="B167" s="421" t="s">
        <v>421</v>
      </c>
      <c r="C167" s="405" t="s">
        <v>36</v>
      </c>
      <c r="D167" s="405" t="s">
        <v>252</v>
      </c>
      <c r="E167" s="424" t="s">
        <v>422</v>
      </c>
      <c r="F167" s="351"/>
      <c r="G167" s="402" t="s">
        <v>170</v>
      </c>
      <c r="H167" s="351"/>
      <c r="I167" s="252" t="s">
        <v>173</v>
      </c>
      <c r="J167" s="354" t="s">
        <v>118</v>
      </c>
      <c r="K167" s="353"/>
      <c r="L167" s="354" t="s">
        <v>61</v>
      </c>
    </row>
    <row r="168" ht="17.25" customHeight="1">
      <c r="B168" s="421" t="s">
        <v>423</v>
      </c>
      <c r="C168" s="428" t="s">
        <v>24</v>
      </c>
      <c r="D168" s="428" t="s">
        <v>25</v>
      </c>
      <c r="E168" s="424" t="s">
        <v>424</v>
      </c>
      <c r="F168" s="351"/>
      <c r="G168" s="402" t="s">
        <v>170</v>
      </c>
      <c r="H168" s="351"/>
      <c r="I168" s="252" t="s">
        <v>216</v>
      </c>
      <c r="J168" s="354" t="s">
        <v>118</v>
      </c>
      <c r="K168" s="353"/>
      <c r="L168" s="354" t="s">
        <v>61</v>
      </c>
    </row>
    <row r="169" ht="17.25" customHeight="1">
      <c r="B169" s="421" t="s">
        <v>425</v>
      </c>
      <c r="C169" s="405" t="s">
        <v>36</v>
      </c>
      <c r="D169" s="405" t="s">
        <v>48</v>
      </c>
      <c r="E169" s="424" t="s">
        <v>426</v>
      </c>
      <c r="F169" s="351"/>
      <c r="G169" s="402" t="s">
        <v>170</v>
      </c>
      <c r="H169" s="351"/>
      <c r="I169" s="252" t="s">
        <v>385</v>
      </c>
      <c r="J169" s="354" t="s">
        <v>118</v>
      </c>
      <c r="K169" s="353"/>
      <c r="L169" s="354" t="s">
        <v>61</v>
      </c>
    </row>
    <row r="170" ht="17.25" customHeight="1">
      <c r="B170" s="421" t="s">
        <v>427</v>
      </c>
      <c r="C170" s="405" t="s">
        <v>36</v>
      </c>
      <c r="D170" s="405" t="s">
        <v>252</v>
      </c>
      <c r="E170" s="424" t="s">
        <v>428</v>
      </c>
      <c r="F170" s="351"/>
      <c r="G170" s="402" t="s">
        <v>166</v>
      </c>
      <c r="H170" s="351"/>
      <c r="I170" s="252" t="s">
        <v>385</v>
      </c>
      <c r="J170" s="415" t="s">
        <v>267</v>
      </c>
      <c r="K170" s="353"/>
      <c r="L170" s="354" t="s">
        <v>61</v>
      </c>
    </row>
    <row r="171" ht="17.25" customHeight="1">
      <c r="B171" s="421" t="s">
        <v>429</v>
      </c>
      <c r="C171" s="405" t="s">
        <v>36</v>
      </c>
      <c r="D171" s="405" t="s">
        <v>252</v>
      </c>
      <c r="E171" s="424" t="s">
        <v>430</v>
      </c>
      <c r="F171" s="351"/>
      <c r="G171" s="402" t="s">
        <v>170</v>
      </c>
      <c r="H171" s="351"/>
      <c r="I171" s="252" t="s">
        <v>358</v>
      </c>
      <c r="J171" s="354" t="s">
        <v>118</v>
      </c>
      <c r="K171" s="353"/>
      <c r="L171" s="354" t="s">
        <v>61</v>
      </c>
    </row>
    <row r="172" ht="17.25" customHeight="1">
      <c r="B172" s="421" t="s">
        <v>431</v>
      </c>
      <c r="C172" s="428" t="s">
        <v>24</v>
      </c>
      <c r="D172" s="428" t="s">
        <v>25</v>
      </c>
      <c r="E172" s="429" t="s">
        <v>432</v>
      </c>
      <c r="F172" s="351"/>
      <c r="G172" s="402" t="s">
        <v>166</v>
      </c>
      <c r="H172" s="351"/>
      <c r="I172" s="252" t="s">
        <v>191</v>
      </c>
      <c r="J172" s="354" t="s">
        <v>118</v>
      </c>
      <c r="K172" s="353"/>
      <c r="L172" s="354" t="s">
        <v>61</v>
      </c>
    </row>
    <row r="173" ht="17.25" customHeight="1">
      <c r="B173" s="421" t="s">
        <v>433</v>
      </c>
      <c r="C173" s="405" t="s">
        <v>36</v>
      </c>
      <c r="D173" s="405" t="s">
        <v>252</v>
      </c>
      <c r="E173" s="424" t="s">
        <v>434</v>
      </c>
      <c r="F173" s="351"/>
      <c r="G173" s="402" t="s">
        <v>170</v>
      </c>
      <c r="H173" s="351"/>
      <c r="I173" s="252" t="s">
        <v>216</v>
      </c>
      <c r="J173" s="354" t="s">
        <v>118</v>
      </c>
      <c r="K173" s="353"/>
      <c r="L173" s="354" t="s">
        <v>61</v>
      </c>
    </row>
    <row r="174" ht="17.25" customHeight="1">
      <c r="B174" s="421" t="s">
        <v>435</v>
      </c>
      <c r="C174" s="405" t="s">
        <v>36</v>
      </c>
      <c r="D174" s="405" t="s">
        <v>101</v>
      </c>
      <c r="E174" s="424" t="s">
        <v>436</v>
      </c>
      <c r="F174" s="351"/>
      <c r="G174" s="402" t="s">
        <v>166</v>
      </c>
      <c r="H174" s="351"/>
      <c r="I174" s="252" t="s">
        <v>253</v>
      </c>
      <c r="J174" s="415" t="s">
        <v>267</v>
      </c>
      <c r="K174" s="353"/>
      <c r="L174" s="354" t="s">
        <v>61</v>
      </c>
    </row>
    <row r="175" ht="17.25" customHeight="1">
      <c r="B175" s="421" t="s">
        <v>437</v>
      </c>
      <c r="C175" s="405" t="s">
        <v>36</v>
      </c>
      <c r="D175" s="405" t="s">
        <v>252</v>
      </c>
      <c r="E175" s="424" t="s">
        <v>438</v>
      </c>
      <c r="F175" s="351"/>
      <c r="G175" s="402" t="s">
        <v>170</v>
      </c>
      <c r="H175" s="351"/>
      <c r="I175" s="252" t="s">
        <v>385</v>
      </c>
      <c r="J175" s="354" t="s">
        <v>118</v>
      </c>
      <c r="K175" s="353"/>
      <c r="L175" s="354" t="s">
        <v>61</v>
      </c>
    </row>
    <row r="176" ht="17.25" customHeight="1">
      <c r="B176" s="421" t="s">
        <v>439</v>
      </c>
      <c r="C176" s="430" t="s">
        <v>15</v>
      </c>
      <c r="D176" s="430" t="s">
        <v>440</v>
      </c>
      <c r="E176" s="431" t="s">
        <v>441</v>
      </c>
      <c r="F176" s="351"/>
      <c r="G176" s="402" t="s">
        <v>166</v>
      </c>
      <c r="H176" s="351"/>
      <c r="I176" s="252" t="s">
        <v>253</v>
      </c>
      <c r="J176" s="415" t="s">
        <v>267</v>
      </c>
      <c r="K176" s="353"/>
      <c r="L176" s="354" t="s">
        <v>61</v>
      </c>
    </row>
    <row r="177" ht="17.25" customHeight="1">
      <c r="B177" s="421" t="s">
        <v>442</v>
      </c>
      <c r="C177" s="405" t="s">
        <v>36</v>
      </c>
      <c r="D177" s="405" t="s">
        <v>48</v>
      </c>
      <c r="E177" s="424" t="s">
        <v>443</v>
      </c>
      <c r="F177" s="351"/>
      <c r="G177" s="402" t="s">
        <v>166</v>
      </c>
      <c r="H177" s="351"/>
      <c r="I177" s="252" t="s">
        <v>385</v>
      </c>
      <c r="J177" s="432" t="s">
        <v>267</v>
      </c>
      <c r="K177" s="353"/>
      <c r="L177" s="433"/>
    </row>
    <row r="178" ht="17.25" customHeight="1">
      <c r="B178" s="421" t="s">
        <v>444</v>
      </c>
      <c r="C178" s="405" t="s">
        <v>36</v>
      </c>
      <c r="D178" s="405" t="s">
        <v>252</v>
      </c>
      <c r="E178" s="431" t="s">
        <v>445</v>
      </c>
      <c r="F178" s="351"/>
      <c r="G178" s="402" t="s">
        <v>170</v>
      </c>
      <c r="H178" s="351"/>
      <c r="I178" s="252" t="s">
        <v>385</v>
      </c>
      <c r="J178" s="354" t="s">
        <v>118</v>
      </c>
      <c r="K178" s="353"/>
      <c r="L178" s="433"/>
    </row>
    <row r="179" ht="17.25" customHeight="1">
      <c r="B179" s="421" t="s">
        <v>446</v>
      </c>
      <c r="C179" s="423" t="s">
        <v>31</v>
      </c>
      <c r="D179" s="423" t="s">
        <v>112</v>
      </c>
      <c r="E179" s="424" t="str">
        <f>HYPERLINK("https://www.reddit.com/r/RMTK/comments/gdvpgj/m0170_motie_tot_het_verhogen_van_salarissen_voor/","Motie tot het verhogen van salarissen voor leraren in het basisonderwijs")</f>
        <v>Motie tot het verhogen van salarissen voor leraren in het basisonderwijs</v>
      </c>
      <c r="F179" s="351"/>
      <c r="G179" s="402" t="s">
        <v>166</v>
      </c>
      <c r="H179" s="351"/>
      <c r="I179" s="252" t="s">
        <v>216</v>
      </c>
      <c r="J179" s="432" t="s">
        <v>267</v>
      </c>
      <c r="K179" s="353"/>
      <c r="L179" s="433"/>
    </row>
    <row r="180" ht="17.25" customHeight="1">
      <c r="B180" s="421" t="s">
        <v>447</v>
      </c>
      <c r="C180" s="405" t="s">
        <v>36</v>
      </c>
      <c r="D180" s="405" t="s">
        <v>252</v>
      </c>
      <c r="E180" s="434" t="str">
        <f>HYPERLINK("https://www.reddit.com/r/RMTK/comments/gf4gid/m0171_motie_tot_vak_belastingaangifte/","Motie tot vak belastingaangifte")</f>
        <v>Motie tot vak belastingaangifte</v>
      </c>
      <c r="F180" s="351"/>
      <c r="G180" s="402" t="s">
        <v>170</v>
      </c>
      <c r="H180" s="351"/>
      <c r="I180" s="252" t="s">
        <v>216</v>
      </c>
      <c r="J180" s="354" t="s">
        <v>118</v>
      </c>
      <c r="K180" s="353"/>
      <c r="L180" s="433"/>
    </row>
    <row r="181" ht="17.25" customHeight="1">
      <c r="B181" s="421" t="s">
        <v>448</v>
      </c>
      <c r="C181" s="405" t="s">
        <v>36</v>
      </c>
      <c r="D181" s="405" t="s">
        <v>252</v>
      </c>
      <c r="E181" s="434" t="str">
        <f>HYPERLINK("https://www.reddit.com/r/RMTK/comments/gi92kk/m0172_motie_tot_belastingvrije_voet_voor_alle/","Motie tot belastingvrije voet voor alle Nederlanders")</f>
        <v>Motie tot belastingvrije voet voor alle Nederlanders</v>
      </c>
      <c r="F181" s="351"/>
      <c r="G181" s="402" t="s">
        <v>166</v>
      </c>
      <c r="H181" s="351"/>
      <c r="I181" s="252" t="s">
        <v>218</v>
      </c>
      <c r="J181" s="432" t="s">
        <v>267</v>
      </c>
      <c r="K181" s="353"/>
      <c r="L181" s="433"/>
    </row>
    <row r="182" ht="17.25" customHeight="1">
      <c r="B182" s="421" t="s">
        <v>449</v>
      </c>
      <c r="C182" s="405" t="s">
        <v>36</v>
      </c>
      <c r="D182" s="405" t="s">
        <v>252</v>
      </c>
      <c r="E182" s="424" t="str">
        <f>hyperlink("https://www.reddit.com/r/RMTK/comments/gmmcvr/m0173_motie_tot_halveren_wachtgeld/","Motie tot halveren wachtgeld")</f>
        <v>Motie tot halveren wachtgeld</v>
      </c>
      <c r="F182" s="351"/>
      <c r="G182" s="402" t="s">
        <v>170</v>
      </c>
      <c r="H182" s="351"/>
      <c r="I182" s="252" t="s">
        <v>358</v>
      </c>
      <c r="J182" s="354" t="s">
        <v>118</v>
      </c>
      <c r="K182" s="353"/>
      <c r="L182" s="433"/>
    </row>
    <row r="183" ht="17.25" customHeight="1">
      <c r="B183" s="421" t="s">
        <v>450</v>
      </c>
      <c r="C183" s="405" t="s">
        <v>36</v>
      </c>
      <c r="D183" s="405" t="s">
        <v>252</v>
      </c>
      <c r="E183" s="434" t="str">
        <f>HYPERLINK("https://www.reddit.com/r/RMTK/comments/gqx5uq/m0174_motie_tot_instellen_tuchtcommissie_wachtgeld/","Motie tot instellen tuchtcommissie wachtgeld")</f>
        <v>Motie tot instellen tuchtcommissie wachtgeld</v>
      </c>
      <c r="F183" s="351"/>
      <c r="G183" s="402" t="s">
        <v>170</v>
      </c>
      <c r="H183" s="351"/>
      <c r="I183" s="252" t="s">
        <v>358</v>
      </c>
      <c r="J183" s="354" t="s">
        <v>118</v>
      </c>
      <c r="K183" s="353"/>
      <c r="L183" s="433"/>
    </row>
    <row r="184" ht="17.25" customHeight="1">
      <c r="B184" s="421" t="s">
        <v>451</v>
      </c>
      <c r="C184" s="405" t="s">
        <v>36</v>
      </c>
      <c r="D184" s="405" t="s">
        <v>37</v>
      </c>
      <c r="E184" s="434" t="str">
        <f>hyperlink("https://www.reddit.com/r/RMTK/comments/giyl4h/m0175_motie_tot_het_vergroten_van_het_aandeel/","Motie tot het vergroten van het aandeel door middel van kernenergie opgewekte elektriciteit")</f>
        <v>Motie tot het vergroten van het aandeel door middel van kernenergie opgewekte elektriciteit</v>
      </c>
      <c r="F184" s="351"/>
      <c r="G184" s="402" t="s">
        <v>166</v>
      </c>
      <c r="H184" s="351"/>
      <c r="I184" s="252" t="s">
        <v>363</v>
      </c>
      <c r="J184" s="415" t="s">
        <v>267</v>
      </c>
      <c r="K184" s="353"/>
      <c r="L184" s="433"/>
    </row>
    <row r="185" ht="17.25" customHeight="1">
      <c r="B185" s="421" t="s">
        <v>452</v>
      </c>
      <c r="C185" s="430" t="s">
        <v>15</v>
      </c>
      <c r="D185" s="430" t="s">
        <v>440</v>
      </c>
      <c r="E185" s="434" t="str">
        <f>hyperlink("https://www.reddit.com/r/RMTK/comments/gjm78i/m0176a_motie_tot_het_aanpassen_van_het_stemrecht/","Motie tot het aanpassen van het stemrecht op basis van belastingbetaling")</f>
        <v>Motie tot het aanpassen van het stemrecht op basis van belastingbetaling</v>
      </c>
      <c r="F185" s="351"/>
      <c r="G185" s="402" t="s">
        <v>170</v>
      </c>
      <c r="H185" s="351"/>
      <c r="I185" s="252" t="s">
        <v>358</v>
      </c>
      <c r="J185" s="354" t="s">
        <v>118</v>
      </c>
      <c r="K185" s="353"/>
      <c r="L185" s="433"/>
    </row>
    <row r="186" ht="17.25" customHeight="1">
      <c r="B186" s="421" t="s">
        <v>453</v>
      </c>
      <c r="C186" s="423" t="s">
        <v>31</v>
      </c>
      <c r="D186" s="423" t="s">
        <v>32</v>
      </c>
      <c r="E186" s="424" t="s">
        <v>454</v>
      </c>
      <c r="F186" s="351"/>
      <c r="G186" s="402" t="s">
        <v>170</v>
      </c>
      <c r="H186" s="351"/>
      <c r="I186" s="252" t="s">
        <v>218</v>
      </c>
      <c r="J186" s="354" t="s">
        <v>118</v>
      </c>
      <c r="K186" s="353"/>
      <c r="L186" s="433"/>
    </row>
    <row r="187" ht="17.25" customHeight="1">
      <c r="B187" s="421" t="s">
        <v>455</v>
      </c>
      <c r="C187" s="423" t="s">
        <v>31</v>
      </c>
      <c r="D187" s="423" t="s">
        <v>32</v>
      </c>
      <c r="E187" s="424" t="s">
        <v>456</v>
      </c>
      <c r="F187" s="351"/>
      <c r="G187" s="402" t="s">
        <v>166</v>
      </c>
      <c r="H187" s="351"/>
      <c r="I187" s="252" t="s">
        <v>173</v>
      </c>
      <c r="J187" s="435" t="s">
        <v>267</v>
      </c>
      <c r="K187" s="353"/>
      <c r="L187" s="433"/>
    </row>
    <row r="188" ht="17.25" customHeight="1">
      <c r="B188" s="421" t="s">
        <v>457</v>
      </c>
      <c r="C188" s="405" t="s">
        <v>36</v>
      </c>
      <c r="D188" s="405" t="s">
        <v>101</v>
      </c>
      <c r="E188" s="424" t="s">
        <v>458</v>
      </c>
      <c r="F188" s="351"/>
      <c r="G188" s="402" t="s">
        <v>166</v>
      </c>
      <c r="H188" s="351"/>
      <c r="I188" s="252" t="s">
        <v>216</v>
      </c>
      <c r="J188" s="432" t="s">
        <v>267</v>
      </c>
      <c r="K188" s="353"/>
      <c r="L188" s="433"/>
    </row>
    <row r="189" ht="17.25" customHeight="1">
      <c r="B189" s="421" t="s">
        <v>459</v>
      </c>
      <c r="C189" s="423" t="s">
        <v>31</v>
      </c>
      <c r="D189" s="423" t="s">
        <v>112</v>
      </c>
      <c r="E189" s="424" t="s">
        <v>460</v>
      </c>
      <c r="F189" s="351"/>
      <c r="G189" s="402" t="s">
        <v>166</v>
      </c>
      <c r="H189" s="351"/>
      <c r="I189" s="252" t="s">
        <v>253</v>
      </c>
      <c r="J189" s="432" t="s">
        <v>267</v>
      </c>
      <c r="K189" s="353"/>
      <c r="L189" s="433"/>
    </row>
    <row r="190" ht="17.25" customHeight="1">
      <c r="B190" s="421" t="s">
        <v>461</v>
      </c>
      <c r="C190" s="423" t="s">
        <v>31</v>
      </c>
      <c r="D190" s="423" t="s">
        <v>32</v>
      </c>
      <c r="E190" s="424" t="s">
        <v>462</v>
      </c>
      <c r="F190" s="351"/>
      <c r="G190" s="402" t="s">
        <v>170</v>
      </c>
      <c r="H190" s="351"/>
      <c r="I190" s="252" t="s">
        <v>173</v>
      </c>
      <c r="J190" s="354" t="s">
        <v>118</v>
      </c>
      <c r="K190" s="353"/>
      <c r="L190" s="433"/>
    </row>
    <row r="191" ht="17.25" customHeight="1">
      <c r="B191" s="421" t="s">
        <v>463</v>
      </c>
      <c r="C191" s="423" t="s">
        <v>31</v>
      </c>
      <c r="D191" s="423" t="s">
        <v>32</v>
      </c>
      <c r="E191" s="436" t="s">
        <v>464</v>
      </c>
      <c r="F191" s="351"/>
      <c r="G191" s="402" t="s">
        <v>170</v>
      </c>
      <c r="H191" s="351"/>
      <c r="I191" s="252" t="s">
        <v>173</v>
      </c>
      <c r="J191" s="354" t="s">
        <v>118</v>
      </c>
      <c r="K191" s="353"/>
      <c r="L191" s="433"/>
    </row>
    <row r="192" ht="17.25" customHeight="1">
      <c r="B192" s="421" t="s">
        <v>465</v>
      </c>
      <c r="C192" s="430" t="s">
        <v>15</v>
      </c>
      <c r="D192" s="430" t="s">
        <v>294</v>
      </c>
      <c r="E192" s="424" t="s">
        <v>466</v>
      </c>
      <c r="F192" s="351"/>
      <c r="G192" s="402" t="s">
        <v>166</v>
      </c>
      <c r="H192" s="351"/>
      <c r="I192" s="252" t="s">
        <v>173</v>
      </c>
      <c r="J192" s="354" t="s">
        <v>180</v>
      </c>
      <c r="K192" s="353"/>
      <c r="L192" s="433"/>
    </row>
    <row r="193" ht="17.25" customHeight="1">
      <c r="B193" s="421" t="s">
        <v>467</v>
      </c>
      <c r="C193" s="405" t="s">
        <v>36</v>
      </c>
      <c r="D193" s="405" t="s">
        <v>101</v>
      </c>
      <c r="E193" s="437" t="s">
        <v>468</v>
      </c>
      <c r="F193" s="351"/>
      <c r="G193" s="402" t="s">
        <v>166</v>
      </c>
      <c r="H193" s="351"/>
      <c r="I193" s="252" t="s">
        <v>358</v>
      </c>
      <c r="J193" s="354" t="s">
        <v>180</v>
      </c>
      <c r="K193" s="353"/>
      <c r="L193" s="433"/>
    </row>
    <row r="194" ht="17.25" customHeight="1">
      <c r="B194" s="421" t="s">
        <v>469</v>
      </c>
      <c r="C194" s="438" t="s">
        <v>47</v>
      </c>
      <c r="D194" s="438" t="s">
        <v>48</v>
      </c>
      <c r="E194" s="424" t="s">
        <v>470</v>
      </c>
      <c r="F194" s="351"/>
      <c r="G194" s="402" t="s">
        <v>170</v>
      </c>
      <c r="H194" s="351"/>
      <c r="I194" s="252" t="s">
        <v>358</v>
      </c>
      <c r="J194" s="354" t="s">
        <v>118</v>
      </c>
      <c r="K194" s="353"/>
      <c r="L194" s="433"/>
    </row>
    <row r="195" ht="17.25" customHeight="1">
      <c r="B195" s="421" t="s">
        <v>471</v>
      </c>
      <c r="C195" s="405" t="s">
        <v>36</v>
      </c>
      <c r="D195" s="405" t="s">
        <v>101</v>
      </c>
      <c r="E195" s="439" t="s">
        <v>472</v>
      </c>
      <c r="F195" s="351"/>
      <c r="G195" s="402" t="s">
        <v>170</v>
      </c>
      <c r="H195" s="351"/>
      <c r="I195" s="252" t="s">
        <v>173</v>
      </c>
      <c r="J195" s="354" t="s">
        <v>118</v>
      </c>
      <c r="K195" s="353"/>
      <c r="L195" s="433"/>
    </row>
    <row r="196" ht="17.25" customHeight="1">
      <c r="B196" s="421" t="s">
        <v>473</v>
      </c>
      <c r="C196" s="438" t="s">
        <v>47</v>
      </c>
      <c r="D196" s="438" t="s">
        <v>48</v>
      </c>
      <c r="E196" s="439" t="s">
        <v>474</v>
      </c>
      <c r="F196" s="351"/>
      <c r="G196" s="402" t="s">
        <v>166</v>
      </c>
      <c r="H196" s="351"/>
      <c r="I196" s="252" t="s">
        <v>358</v>
      </c>
      <c r="J196" s="432" t="s">
        <v>267</v>
      </c>
      <c r="K196" s="353"/>
      <c r="L196" s="433"/>
    </row>
    <row r="197" ht="17.25" customHeight="1">
      <c r="B197" s="421" t="s">
        <v>475</v>
      </c>
      <c r="C197" s="428" t="s">
        <v>24</v>
      </c>
      <c r="D197" s="428" t="s">
        <v>25</v>
      </c>
      <c r="E197" s="439" t="s">
        <v>476</v>
      </c>
      <c r="F197" s="351"/>
      <c r="G197" s="402" t="s">
        <v>170</v>
      </c>
      <c r="H197" s="351"/>
      <c r="I197" s="252" t="s">
        <v>363</v>
      </c>
      <c r="J197" s="354" t="s">
        <v>118</v>
      </c>
      <c r="K197" s="353"/>
      <c r="L197" s="433"/>
    </row>
    <row r="198" ht="17.25" customHeight="1">
      <c r="B198" s="421" t="s">
        <v>477</v>
      </c>
      <c r="C198" s="428" t="s">
        <v>24</v>
      </c>
      <c r="D198" s="428" t="s">
        <v>25</v>
      </c>
      <c r="E198" s="439" t="s">
        <v>478</v>
      </c>
      <c r="F198" s="351"/>
      <c r="G198" s="402" t="s">
        <v>166</v>
      </c>
      <c r="H198" s="351"/>
      <c r="I198" s="252" t="s">
        <v>218</v>
      </c>
      <c r="J198" s="432" t="s">
        <v>267</v>
      </c>
      <c r="K198" s="353"/>
      <c r="L198" s="433"/>
    </row>
    <row r="199" ht="17.25" customHeight="1">
      <c r="B199" s="421" t="s">
        <v>479</v>
      </c>
      <c r="C199" s="428" t="s">
        <v>24</v>
      </c>
      <c r="D199" s="428" t="s">
        <v>25</v>
      </c>
      <c r="E199" s="439" t="s">
        <v>480</v>
      </c>
      <c r="F199" s="351"/>
      <c r="G199" s="402" t="s">
        <v>166</v>
      </c>
      <c r="H199" s="351"/>
      <c r="I199" s="252" t="s">
        <v>253</v>
      </c>
      <c r="J199" s="432" t="s">
        <v>267</v>
      </c>
      <c r="K199" s="353"/>
      <c r="L199" s="433"/>
    </row>
    <row r="200" ht="17.25" customHeight="1">
      <c r="B200" s="421" t="s">
        <v>481</v>
      </c>
      <c r="C200" s="423" t="s">
        <v>31</v>
      </c>
      <c r="D200" s="423" t="s">
        <v>32</v>
      </c>
      <c r="E200" s="439" t="s">
        <v>482</v>
      </c>
      <c r="F200" s="351"/>
      <c r="G200" s="402" t="s">
        <v>170</v>
      </c>
      <c r="H200" s="351"/>
      <c r="I200" s="252" t="s">
        <v>173</v>
      </c>
      <c r="J200" s="354" t="s">
        <v>118</v>
      </c>
      <c r="K200" s="353"/>
      <c r="L200" s="433"/>
    </row>
    <row r="201" ht="17.25" customHeight="1">
      <c r="B201" s="421" t="s">
        <v>483</v>
      </c>
      <c r="C201" s="430" t="s">
        <v>15</v>
      </c>
      <c r="D201" s="430" t="s">
        <v>206</v>
      </c>
      <c r="E201" s="440" t="s">
        <v>484</v>
      </c>
      <c r="F201" s="351"/>
      <c r="G201" s="402" t="s">
        <v>166</v>
      </c>
      <c r="H201" s="351"/>
      <c r="I201" s="252" t="s">
        <v>358</v>
      </c>
      <c r="J201" s="432" t="s">
        <v>267</v>
      </c>
      <c r="K201" s="353"/>
      <c r="L201" s="433"/>
    </row>
    <row r="202" ht="17.25" customHeight="1">
      <c r="B202" s="421" t="s">
        <v>485</v>
      </c>
      <c r="C202" s="438" t="s">
        <v>47</v>
      </c>
      <c r="D202" s="441" t="s">
        <v>172</v>
      </c>
      <c r="E202" s="440" t="s">
        <v>486</v>
      </c>
      <c r="F202" s="351"/>
      <c r="G202" s="402" t="s">
        <v>166</v>
      </c>
      <c r="H202" s="351"/>
      <c r="I202" s="252" t="s">
        <v>363</v>
      </c>
      <c r="J202" s="432" t="s">
        <v>267</v>
      </c>
      <c r="K202" s="353"/>
      <c r="L202" s="433"/>
    </row>
    <row r="203" ht="17.25" customHeight="1">
      <c r="B203" s="421" t="s">
        <v>487</v>
      </c>
      <c r="C203" s="405" t="s">
        <v>36</v>
      </c>
      <c r="D203" s="405" t="s">
        <v>102</v>
      </c>
      <c r="E203" s="442" t="s">
        <v>488</v>
      </c>
      <c r="F203" s="351"/>
      <c r="G203" s="402" t="s">
        <v>166</v>
      </c>
      <c r="H203" s="351"/>
      <c r="I203" s="252" t="s">
        <v>489</v>
      </c>
      <c r="J203" s="417" t="s">
        <v>267</v>
      </c>
      <c r="K203" s="353"/>
      <c r="L203" s="433"/>
    </row>
    <row r="204" ht="17.25" customHeight="1">
      <c r="B204" s="421" t="s">
        <v>490</v>
      </c>
      <c r="C204" s="428" t="s">
        <v>24</v>
      </c>
      <c r="D204" s="428" t="s">
        <v>106</v>
      </c>
      <c r="E204" s="442" t="s">
        <v>491</v>
      </c>
      <c r="F204" s="351"/>
      <c r="G204" s="402" t="s">
        <v>166</v>
      </c>
      <c r="H204" s="351"/>
      <c r="I204" s="252" t="s">
        <v>253</v>
      </c>
      <c r="J204" s="432" t="s">
        <v>267</v>
      </c>
      <c r="K204" s="353"/>
      <c r="L204" s="433"/>
    </row>
    <row r="205" ht="17.25" customHeight="1">
      <c r="B205" s="421" t="s">
        <v>492</v>
      </c>
      <c r="C205" s="438" t="s">
        <v>47</v>
      </c>
      <c r="D205" s="441" t="s">
        <v>172</v>
      </c>
      <c r="E205" s="442" t="s">
        <v>493</v>
      </c>
      <c r="F205" s="351"/>
      <c r="G205" s="402" t="s">
        <v>166</v>
      </c>
      <c r="H205" s="351"/>
      <c r="I205" s="252" t="s">
        <v>363</v>
      </c>
      <c r="J205" s="354" t="s">
        <v>180</v>
      </c>
      <c r="K205" s="353"/>
      <c r="L205" s="433"/>
    </row>
    <row r="206" ht="17.25" customHeight="1">
      <c r="B206" s="421" t="s">
        <v>494</v>
      </c>
      <c r="C206" s="414" t="s">
        <v>115</v>
      </c>
      <c r="D206" s="414" t="s">
        <v>116</v>
      </c>
      <c r="E206" s="442" t="s">
        <v>495</v>
      </c>
      <c r="F206" s="351"/>
      <c r="G206" s="402" t="s">
        <v>170</v>
      </c>
      <c r="H206" s="351"/>
      <c r="I206" s="252" t="s">
        <v>173</v>
      </c>
      <c r="J206" s="354" t="s">
        <v>118</v>
      </c>
      <c r="K206" s="353"/>
      <c r="L206" s="433"/>
    </row>
    <row r="207" ht="17.25" customHeight="1">
      <c r="B207" s="421" t="s">
        <v>496</v>
      </c>
      <c r="C207" s="423" t="s">
        <v>31</v>
      </c>
      <c r="D207" s="423" t="s">
        <v>112</v>
      </c>
      <c r="E207" s="431" t="s">
        <v>497</v>
      </c>
      <c r="F207" s="351"/>
      <c r="G207" s="402" t="s">
        <v>170</v>
      </c>
      <c r="H207" s="351"/>
      <c r="I207" s="252" t="s">
        <v>358</v>
      </c>
      <c r="J207" s="354" t="s">
        <v>118</v>
      </c>
      <c r="K207" s="353"/>
      <c r="L207" s="433"/>
    </row>
    <row r="208" ht="17.25" customHeight="1">
      <c r="B208" s="421" t="s">
        <v>498</v>
      </c>
      <c r="C208" s="428" t="s">
        <v>24</v>
      </c>
      <c r="D208" s="428" t="s">
        <v>106</v>
      </c>
      <c r="E208" s="443" t="s">
        <v>499</v>
      </c>
      <c r="F208" s="351"/>
      <c r="G208" s="402" t="s">
        <v>166</v>
      </c>
      <c r="H208" s="351"/>
      <c r="I208" s="252" t="s">
        <v>385</v>
      </c>
      <c r="J208" s="432" t="s">
        <v>267</v>
      </c>
      <c r="K208" s="353"/>
      <c r="L208" s="433"/>
    </row>
    <row r="209" ht="17.25" customHeight="1">
      <c r="B209" s="421" t="s">
        <v>500</v>
      </c>
      <c r="C209" s="428" t="s">
        <v>24</v>
      </c>
      <c r="D209" s="428" t="s">
        <v>106</v>
      </c>
      <c r="E209" s="442" t="s">
        <v>501</v>
      </c>
      <c r="F209" s="351"/>
      <c r="G209" s="402" t="s">
        <v>166</v>
      </c>
      <c r="H209" s="351"/>
      <c r="I209" s="252" t="s">
        <v>363</v>
      </c>
      <c r="J209" s="432" t="s">
        <v>267</v>
      </c>
      <c r="K209" s="353"/>
      <c r="L209" s="433"/>
    </row>
    <row r="210" ht="17.25" customHeight="1">
      <c r="B210" s="421" t="s">
        <v>502</v>
      </c>
      <c r="C210" s="428" t="s">
        <v>24</v>
      </c>
      <c r="D210" s="428" t="s">
        <v>106</v>
      </c>
      <c r="E210" s="442" t="s">
        <v>503</v>
      </c>
      <c r="F210" s="351"/>
      <c r="G210" s="402" t="s">
        <v>166</v>
      </c>
      <c r="H210" s="351"/>
      <c r="I210" s="252" t="s">
        <v>363</v>
      </c>
      <c r="J210" s="432" t="s">
        <v>267</v>
      </c>
      <c r="K210" s="353"/>
      <c r="L210" s="433"/>
    </row>
    <row r="211" ht="17.25" customHeight="1">
      <c r="B211" s="421" t="s">
        <v>504</v>
      </c>
      <c r="C211" s="428" t="s">
        <v>24</v>
      </c>
      <c r="D211" s="428" t="s">
        <v>106</v>
      </c>
      <c r="E211" s="442" t="s">
        <v>505</v>
      </c>
      <c r="F211" s="351"/>
      <c r="G211" s="402" t="s">
        <v>166</v>
      </c>
      <c r="H211" s="351"/>
      <c r="I211" s="252" t="s">
        <v>363</v>
      </c>
      <c r="J211" s="432" t="s">
        <v>267</v>
      </c>
      <c r="K211" s="353"/>
      <c r="L211" s="433"/>
    </row>
    <row r="212" ht="17.25" customHeight="1">
      <c r="B212" s="421" t="s">
        <v>506</v>
      </c>
      <c r="C212" s="438" t="s">
        <v>47</v>
      </c>
      <c r="D212" s="438" t="s">
        <v>48</v>
      </c>
      <c r="E212" s="437" t="s">
        <v>507</v>
      </c>
      <c r="F212" s="351"/>
      <c r="G212" s="402" t="s">
        <v>170</v>
      </c>
      <c r="H212" s="351"/>
      <c r="I212" s="252" t="s">
        <v>358</v>
      </c>
      <c r="J212" s="354" t="s">
        <v>118</v>
      </c>
      <c r="K212" s="353"/>
      <c r="L212" s="433"/>
    </row>
    <row r="213">
      <c r="B213" s="421" t="s">
        <v>508</v>
      </c>
      <c r="C213" s="438" t="s">
        <v>47</v>
      </c>
      <c r="D213" s="438" t="s">
        <v>48</v>
      </c>
      <c r="E213" s="442" t="s">
        <v>509</v>
      </c>
      <c r="F213" s="351"/>
      <c r="G213" s="402" t="s">
        <v>170</v>
      </c>
      <c r="H213" s="351"/>
      <c r="I213" s="252" t="s">
        <v>385</v>
      </c>
      <c r="J213" s="354" t="s">
        <v>118</v>
      </c>
      <c r="K213" s="353"/>
      <c r="L213" s="433"/>
    </row>
    <row r="214">
      <c r="B214" s="421" t="s">
        <v>510</v>
      </c>
      <c r="C214" s="438" t="s">
        <v>47</v>
      </c>
      <c r="D214" s="438" t="s">
        <v>48</v>
      </c>
      <c r="E214" s="442" t="s">
        <v>511</v>
      </c>
      <c r="F214" s="351"/>
      <c r="G214" s="402" t="s">
        <v>166</v>
      </c>
      <c r="H214" s="351"/>
      <c r="I214" s="252" t="s">
        <v>385</v>
      </c>
      <c r="J214" s="432" t="s">
        <v>267</v>
      </c>
      <c r="K214" s="353"/>
      <c r="L214" s="433"/>
    </row>
    <row r="215">
      <c r="B215" s="421" t="s">
        <v>512</v>
      </c>
      <c r="C215" s="438" t="s">
        <v>47</v>
      </c>
      <c r="D215" s="441" t="s">
        <v>172</v>
      </c>
      <c r="E215" s="442" t="s">
        <v>513</v>
      </c>
      <c r="F215" s="351"/>
      <c r="G215" s="402" t="s">
        <v>166</v>
      </c>
      <c r="H215" s="351"/>
      <c r="I215" s="252" t="s">
        <v>218</v>
      </c>
      <c r="J215" s="354" t="s">
        <v>180</v>
      </c>
      <c r="K215" s="353"/>
      <c r="L215" s="433"/>
    </row>
    <row r="216">
      <c r="B216" s="421" t="s">
        <v>514</v>
      </c>
      <c r="C216" s="438" t="s">
        <v>47</v>
      </c>
      <c r="D216" s="438" t="s">
        <v>48</v>
      </c>
      <c r="E216" s="442" t="s">
        <v>515</v>
      </c>
      <c r="F216" s="351"/>
      <c r="G216" s="402" t="s">
        <v>166</v>
      </c>
      <c r="H216" s="351"/>
      <c r="I216" s="252" t="s">
        <v>385</v>
      </c>
      <c r="J216" s="432" t="s">
        <v>267</v>
      </c>
      <c r="K216" s="353"/>
      <c r="L216" s="433"/>
    </row>
    <row r="217">
      <c r="B217" s="421" t="s">
        <v>516</v>
      </c>
      <c r="C217" s="438" t="s">
        <v>47</v>
      </c>
      <c r="D217" s="438" t="s">
        <v>48</v>
      </c>
      <c r="E217" s="442" t="s">
        <v>517</v>
      </c>
      <c r="F217" s="351"/>
      <c r="G217" s="402" t="s">
        <v>166</v>
      </c>
      <c r="H217" s="351"/>
      <c r="I217" s="252" t="s">
        <v>385</v>
      </c>
      <c r="J217" s="432" t="s">
        <v>267</v>
      </c>
      <c r="K217" s="353"/>
      <c r="L217" s="433"/>
    </row>
    <row r="218">
      <c r="B218" s="421" t="s">
        <v>518</v>
      </c>
      <c r="C218" s="438" t="s">
        <v>47</v>
      </c>
      <c r="D218" s="438" t="s">
        <v>48</v>
      </c>
      <c r="E218" s="442" t="s">
        <v>519</v>
      </c>
      <c r="F218" s="351"/>
      <c r="G218" s="402" t="s">
        <v>166</v>
      </c>
      <c r="H218" s="351"/>
      <c r="I218" s="252" t="s">
        <v>385</v>
      </c>
      <c r="J218" s="354" t="s">
        <v>180</v>
      </c>
      <c r="K218" s="353"/>
      <c r="L218" s="433"/>
    </row>
    <row r="219">
      <c r="B219" s="421" t="s">
        <v>520</v>
      </c>
      <c r="C219" s="438" t="s">
        <v>47</v>
      </c>
      <c r="D219" s="438" t="s">
        <v>48</v>
      </c>
      <c r="E219" s="442" t="s">
        <v>521</v>
      </c>
      <c r="F219" s="351"/>
      <c r="G219" s="402" t="s">
        <v>166</v>
      </c>
      <c r="H219" s="351"/>
      <c r="I219" s="252" t="s">
        <v>385</v>
      </c>
      <c r="J219" s="432" t="s">
        <v>267</v>
      </c>
      <c r="K219" s="353"/>
      <c r="L219" s="433"/>
    </row>
    <row r="220">
      <c r="B220" s="421" t="s">
        <v>522</v>
      </c>
      <c r="C220" s="423" t="s">
        <v>31</v>
      </c>
      <c r="D220" s="423" t="s">
        <v>32</v>
      </c>
      <c r="E220" s="442" t="s">
        <v>523</v>
      </c>
      <c r="F220" s="351"/>
      <c r="G220" s="402" t="s">
        <v>166</v>
      </c>
      <c r="H220" s="351"/>
      <c r="I220" s="252" t="s">
        <v>385</v>
      </c>
      <c r="J220" s="432" t="s">
        <v>267</v>
      </c>
      <c r="K220" s="353"/>
      <c r="L220" s="433"/>
    </row>
    <row r="221">
      <c r="B221" s="421" t="s">
        <v>524</v>
      </c>
      <c r="C221" s="428" t="s">
        <v>24</v>
      </c>
      <c r="D221" s="428" t="s">
        <v>106</v>
      </c>
      <c r="E221" s="442" t="s">
        <v>525</v>
      </c>
      <c r="F221" s="351"/>
      <c r="G221" s="402" t="s">
        <v>166</v>
      </c>
      <c r="H221" s="351"/>
      <c r="I221" s="252" t="s">
        <v>216</v>
      </c>
      <c r="J221" s="432" t="s">
        <v>267</v>
      </c>
      <c r="K221" s="353"/>
      <c r="L221" s="354"/>
    </row>
    <row r="222">
      <c r="B222" s="421" t="s">
        <v>526</v>
      </c>
      <c r="C222" s="444" t="s">
        <v>527</v>
      </c>
      <c r="D222" s="252" t="s">
        <v>294</v>
      </c>
      <c r="E222" s="445" t="s">
        <v>528</v>
      </c>
      <c r="F222" s="351"/>
      <c r="G222" s="402" t="s">
        <v>166</v>
      </c>
      <c r="H222" s="351"/>
      <c r="I222" s="252" t="s">
        <v>191</v>
      </c>
      <c r="J222" s="354" t="s">
        <v>118</v>
      </c>
      <c r="K222" s="353"/>
      <c r="L222" s="433"/>
    </row>
    <row r="223">
      <c r="B223" s="421" t="s">
        <v>529</v>
      </c>
      <c r="C223" s="428" t="s">
        <v>24</v>
      </c>
      <c r="D223" s="428" t="s">
        <v>106</v>
      </c>
      <c r="E223" s="442" t="s">
        <v>530</v>
      </c>
      <c r="F223" s="351"/>
      <c r="G223" s="402" t="s">
        <v>166</v>
      </c>
      <c r="H223" s="351"/>
      <c r="I223" s="252" t="s">
        <v>358</v>
      </c>
      <c r="J223" s="432" t="s">
        <v>267</v>
      </c>
      <c r="K223" s="353"/>
      <c r="L223" s="433"/>
    </row>
    <row r="224">
      <c r="B224" s="421" t="s">
        <v>531</v>
      </c>
      <c r="C224" s="398" t="s">
        <v>532</v>
      </c>
      <c r="D224" s="398" t="s">
        <v>533</v>
      </c>
      <c r="E224" s="442" t="s">
        <v>534</v>
      </c>
      <c r="F224" s="351"/>
      <c r="G224" s="402" t="s">
        <v>166</v>
      </c>
      <c r="H224" s="351"/>
      <c r="I224" s="252" t="s">
        <v>253</v>
      </c>
      <c r="J224" s="432" t="s">
        <v>267</v>
      </c>
      <c r="K224" s="353"/>
      <c r="L224" s="433"/>
    </row>
    <row r="225">
      <c r="B225" s="421" t="s">
        <v>535</v>
      </c>
      <c r="C225" s="423" t="s">
        <v>31</v>
      </c>
      <c r="D225" s="423" t="s">
        <v>111</v>
      </c>
      <c r="E225" s="446" t="str">
        <f>HYPERLINK("https://www.reddit.com/r/RMTK/comments/hhxu98/m0216_motie_tot_economische_voorspoed_en/","Motie tot economische voorspoed en emancipatie")</f>
        <v>Motie tot economische voorspoed en emancipatie</v>
      </c>
      <c r="F225" s="351"/>
      <c r="G225" s="402" t="s">
        <v>166</v>
      </c>
      <c r="H225" s="351"/>
      <c r="I225" s="252" t="s">
        <v>218</v>
      </c>
      <c r="J225" s="432" t="s">
        <v>267</v>
      </c>
      <c r="K225" s="353"/>
      <c r="L225" s="433"/>
    </row>
    <row r="226">
      <c r="B226" s="421" t="s">
        <v>536</v>
      </c>
      <c r="C226" s="423" t="s">
        <v>31</v>
      </c>
      <c r="D226" s="423" t="s">
        <v>32</v>
      </c>
      <c r="E226" s="363" t="str">
        <f>HYPERLINK("https://www.reddit.com/r/RMTK/comments/hil801/m0217_motie_tot_voorbereiding_op_medische/","Motie tot voorbereiding op medische crisissen")</f>
        <v>Motie tot voorbereiding op medische crisissen</v>
      </c>
      <c r="F226" s="351"/>
      <c r="G226" s="402" t="s">
        <v>170</v>
      </c>
      <c r="H226" s="351"/>
      <c r="I226" s="252" t="s">
        <v>253</v>
      </c>
      <c r="J226" s="354" t="s">
        <v>118</v>
      </c>
      <c r="K226" s="353"/>
      <c r="L226" s="433"/>
    </row>
    <row r="227">
      <c r="B227" s="421" t="s">
        <v>537</v>
      </c>
      <c r="C227" s="423" t="s">
        <v>31</v>
      </c>
      <c r="D227" s="423" t="s">
        <v>113</v>
      </c>
      <c r="E227" s="442" t="s">
        <v>538</v>
      </c>
      <c r="F227" s="351"/>
      <c r="G227" s="402" t="s">
        <v>166</v>
      </c>
      <c r="H227" s="351"/>
      <c r="I227" s="252" t="s">
        <v>385</v>
      </c>
      <c r="J227" s="432" t="s">
        <v>267</v>
      </c>
      <c r="K227" s="353"/>
      <c r="L227" s="433"/>
    </row>
    <row r="228">
      <c r="B228" s="421" t="s">
        <v>539</v>
      </c>
      <c r="C228" s="423" t="s">
        <v>31</v>
      </c>
      <c r="D228" s="423" t="s">
        <v>98</v>
      </c>
      <c r="E228" s="442" t="s">
        <v>540</v>
      </c>
      <c r="F228" s="351"/>
      <c r="G228" s="402" t="s">
        <v>166</v>
      </c>
      <c r="H228" s="351"/>
      <c r="I228" s="252" t="s">
        <v>358</v>
      </c>
      <c r="J228" s="432" t="s">
        <v>267</v>
      </c>
      <c r="K228" s="353"/>
      <c r="L228" s="433"/>
    </row>
    <row r="229">
      <c r="B229" s="421" t="s">
        <v>541</v>
      </c>
      <c r="C229" s="438" t="s">
        <v>47</v>
      </c>
      <c r="D229" s="438" t="s">
        <v>48</v>
      </c>
      <c r="E229" s="442" t="s">
        <v>542</v>
      </c>
      <c r="F229" s="351"/>
      <c r="G229" s="402" t="s">
        <v>166</v>
      </c>
      <c r="H229" s="351"/>
      <c r="I229" s="252" t="s">
        <v>543</v>
      </c>
      <c r="J229" s="432" t="s">
        <v>267</v>
      </c>
      <c r="K229" s="353"/>
      <c r="L229" s="433"/>
    </row>
    <row r="230">
      <c r="B230" s="421" t="s">
        <v>544</v>
      </c>
      <c r="C230" s="423" t="s">
        <v>31</v>
      </c>
      <c r="D230" s="423" t="s">
        <v>111</v>
      </c>
      <c r="E230" s="442" t="s">
        <v>545</v>
      </c>
      <c r="F230" s="351"/>
      <c r="G230" s="402" t="s">
        <v>166</v>
      </c>
      <c r="H230" s="351"/>
      <c r="I230" s="252" t="s">
        <v>216</v>
      </c>
      <c r="J230" s="432" t="s">
        <v>267</v>
      </c>
      <c r="K230" s="353"/>
      <c r="L230" s="433"/>
    </row>
    <row r="231">
      <c r="B231" s="421" t="s">
        <v>546</v>
      </c>
      <c r="C231" s="423" t="s">
        <v>31</v>
      </c>
      <c r="D231" s="423" t="s">
        <v>32</v>
      </c>
      <c r="E231" s="442" t="s">
        <v>547</v>
      </c>
      <c r="F231" s="351"/>
      <c r="G231" s="402" t="s">
        <v>170</v>
      </c>
      <c r="H231" s="351"/>
      <c r="I231" s="252" t="s">
        <v>218</v>
      </c>
      <c r="J231" s="354" t="s">
        <v>118</v>
      </c>
      <c r="K231" s="353"/>
      <c r="L231" s="433"/>
    </row>
    <row r="232">
      <c r="B232" s="421" t="s">
        <v>548</v>
      </c>
      <c r="C232" s="438" t="s">
        <v>47</v>
      </c>
      <c r="D232" s="438" t="s">
        <v>48</v>
      </c>
      <c r="E232" s="442" t="s">
        <v>549</v>
      </c>
      <c r="F232" s="351"/>
      <c r="G232" s="402" t="s">
        <v>166</v>
      </c>
      <c r="H232" s="351"/>
      <c r="I232" s="252" t="s">
        <v>253</v>
      </c>
      <c r="J232" s="354" t="s">
        <v>267</v>
      </c>
      <c r="K232" s="353"/>
      <c r="L232" s="433"/>
    </row>
    <row r="233">
      <c r="B233" s="421" t="s">
        <v>550</v>
      </c>
      <c r="C233" s="252" t="s">
        <v>527</v>
      </c>
      <c r="D233" s="444" t="s">
        <v>176</v>
      </c>
      <c r="E233" s="442" t="s">
        <v>551</v>
      </c>
      <c r="F233" s="351"/>
      <c r="G233" s="402" t="s">
        <v>170</v>
      </c>
      <c r="H233" s="351"/>
      <c r="I233" s="252" t="s">
        <v>363</v>
      </c>
      <c r="J233" s="354" t="s">
        <v>118</v>
      </c>
      <c r="K233" s="353"/>
      <c r="L233" s="433"/>
    </row>
    <row r="234">
      <c r="B234" s="421" t="s">
        <v>552</v>
      </c>
      <c r="C234" s="428" t="s">
        <v>24</v>
      </c>
      <c r="D234" s="428" t="s">
        <v>106</v>
      </c>
      <c r="E234" s="442" t="s">
        <v>553</v>
      </c>
      <c r="F234" s="351"/>
      <c r="G234" s="402" t="s">
        <v>166</v>
      </c>
      <c r="H234" s="351"/>
      <c r="I234" s="252" t="s">
        <v>173</v>
      </c>
      <c r="J234" s="354" t="s">
        <v>267</v>
      </c>
      <c r="K234" s="353"/>
      <c r="L234" s="433"/>
    </row>
    <row r="235">
      <c r="B235" s="421" t="s">
        <v>554</v>
      </c>
      <c r="C235" s="430" t="s">
        <v>15</v>
      </c>
      <c r="D235" s="430" t="s">
        <v>555</v>
      </c>
      <c r="E235" s="447" t="s">
        <v>556</v>
      </c>
      <c r="F235" s="351"/>
      <c r="G235" s="402" t="s">
        <v>166</v>
      </c>
      <c r="H235" s="351"/>
      <c r="I235" s="252" t="s">
        <v>358</v>
      </c>
      <c r="J235" s="354" t="s">
        <v>267</v>
      </c>
      <c r="K235" s="353"/>
      <c r="L235" s="433"/>
    </row>
    <row r="236">
      <c r="B236" s="421" t="s">
        <v>557</v>
      </c>
      <c r="C236" s="405" t="s">
        <v>36</v>
      </c>
      <c r="D236" s="405" t="s">
        <v>101</v>
      </c>
      <c r="E236" s="447" t="s">
        <v>558</v>
      </c>
      <c r="F236" s="351"/>
      <c r="G236" s="402" t="s">
        <v>170</v>
      </c>
      <c r="H236" s="351"/>
      <c r="I236" s="252" t="s">
        <v>218</v>
      </c>
      <c r="J236" s="354" t="s">
        <v>118</v>
      </c>
      <c r="K236" s="353"/>
      <c r="L236" s="433"/>
    </row>
    <row r="237">
      <c r="B237" s="421" t="s">
        <v>559</v>
      </c>
      <c r="C237" s="423" t="s">
        <v>31</v>
      </c>
      <c r="D237" s="423" t="s">
        <v>113</v>
      </c>
      <c r="E237" s="447" t="s">
        <v>560</v>
      </c>
      <c r="F237" s="351"/>
      <c r="G237" s="402" t="s">
        <v>166</v>
      </c>
      <c r="H237" s="351"/>
      <c r="I237" s="252" t="s">
        <v>363</v>
      </c>
      <c r="J237" s="354" t="s">
        <v>267</v>
      </c>
      <c r="K237" s="353"/>
      <c r="L237" s="433"/>
    </row>
    <row r="238">
      <c r="B238" s="421" t="s">
        <v>561</v>
      </c>
      <c r="C238" s="423" t="s">
        <v>31</v>
      </c>
      <c r="D238" s="423" t="s">
        <v>32</v>
      </c>
      <c r="E238" s="445" t="s">
        <v>562</v>
      </c>
      <c r="F238" s="351"/>
      <c r="G238" s="402" t="s">
        <v>170</v>
      </c>
      <c r="H238" s="351"/>
      <c r="I238" s="252" t="s">
        <v>173</v>
      </c>
      <c r="J238" s="354" t="s">
        <v>118</v>
      </c>
      <c r="K238" s="353"/>
      <c r="L238" s="433"/>
    </row>
    <row r="239" ht="7.5" customHeight="1">
      <c r="A239" s="448"/>
      <c r="B239" s="449"/>
      <c r="C239" s="450"/>
      <c r="D239" s="450"/>
      <c r="E239" s="451"/>
      <c r="F239" s="452"/>
      <c r="G239" s="449"/>
      <c r="H239" s="452"/>
      <c r="I239" s="452"/>
      <c r="J239" s="452"/>
      <c r="K239" s="448"/>
      <c r="L239" s="449"/>
    </row>
    <row r="240">
      <c r="A240" s="420" t="s">
        <v>563</v>
      </c>
      <c r="B240" s="421" t="s">
        <v>564</v>
      </c>
      <c r="C240" s="430" t="s">
        <v>15</v>
      </c>
      <c r="D240" s="430" t="s">
        <v>94</v>
      </c>
      <c r="E240" s="447" t="s">
        <v>565</v>
      </c>
      <c r="F240" s="351"/>
      <c r="G240" s="402" t="s">
        <v>166</v>
      </c>
      <c r="H240" s="351"/>
      <c r="I240" s="252" t="s">
        <v>173</v>
      </c>
      <c r="J240" s="354" t="s">
        <v>267</v>
      </c>
      <c r="K240" s="353"/>
      <c r="L240" s="433"/>
    </row>
    <row r="241">
      <c r="B241" s="421" t="s">
        <v>566</v>
      </c>
      <c r="C241" s="430" t="s">
        <v>15</v>
      </c>
      <c r="D241" s="430" t="s">
        <v>555</v>
      </c>
      <c r="E241" s="447" t="s">
        <v>567</v>
      </c>
      <c r="F241" s="351"/>
      <c r="G241" s="402" t="s">
        <v>166</v>
      </c>
      <c r="H241" s="351"/>
      <c r="I241" s="252" t="s">
        <v>173</v>
      </c>
      <c r="J241" s="354" t="s">
        <v>267</v>
      </c>
      <c r="K241" s="353"/>
      <c r="L241" s="433"/>
    </row>
    <row r="242">
      <c r="B242" s="421" t="s">
        <v>568</v>
      </c>
      <c r="C242" s="430" t="s">
        <v>15</v>
      </c>
      <c r="D242" s="430" t="s">
        <v>94</v>
      </c>
      <c r="E242" s="447" t="s">
        <v>569</v>
      </c>
      <c r="F242" s="351"/>
      <c r="G242" s="402" t="s">
        <v>166</v>
      </c>
      <c r="H242" s="351"/>
      <c r="I242" s="252" t="s">
        <v>363</v>
      </c>
      <c r="J242" s="354" t="s">
        <v>180</v>
      </c>
      <c r="K242" s="353"/>
      <c r="L242" s="433"/>
    </row>
    <row r="243">
      <c r="B243" s="421" t="s">
        <v>570</v>
      </c>
      <c r="C243" s="430" t="s">
        <v>15</v>
      </c>
      <c r="D243" s="430" t="s">
        <v>555</v>
      </c>
      <c r="E243" s="447" t="s">
        <v>571</v>
      </c>
      <c r="F243" s="351"/>
      <c r="G243" s="402" t="s">
        <v>166</v>
      </c>
      <c r="H243" s="351"/>
      <c r="I243" s="252" t="s">
        <v>385</v>
      </c>
      <c r="J243" s="354" t="s">
        <v>180</v>
      </c>
      <c r="K243" s="353"/>
      <c r="L243" s="433"/>
    </row>
    <row r="244">
      <c r="B244" s="421" t="s">
        <v>572</v>
      </c>
      <c r="C244" s="438" t="s">
        <v>47</v>
      </c>
      <c r="D244" s="438" t="s">
        <v>176</v>
      </c>
      <c r="E244" s="427" t="s">
        <v>573</v>
      </c>
      <c r="F244" s="351"/>
      <c r="G244" s="402" t="s">
        <v>166</v>
      </c>
      <c r="H244" s="351"/>
      <c r="I244" s="252" t="s">
        <v>385</v>
      </c>
      <c r="J244" s="354" t="s">
        <v>180</v>
      </c>
      <c r="K244" s="353"/>
      <c r="L244" s="433"/>
    </row>
    <row r="245">
      <c r="B245" s="421" t="s">
        <v>574</v>
      </c>
      <c r="C245" s="430" t="s">
        <v>15</v>
      </c>
      <c r="D245" s="430" t="s">
        <v>99</v>
      </c>
      <c r="E245" s="447" t="s">
        <v>575</v>
      </c>
      <c r="F245" s="351"/>
      <c r="G245" s="402" t="s">
        <v>576</v>
      </c>
      <c r="H245" s="351"/>
      <c r="I245" s="252" t="s">
        <v>385</v>
      </c>
      <c r="J245" s="354" t="s">
        <v>118</v>
      </c>
      <c r="K245" s="353"/>
      <c r="L245" s="433"/>
    </row>
    <row r="246">
      <c r="B246" s="453" t="s">
        <v>577</v>
      </c>
      <c r="C246" s="430" t="s">
        <v>15</v>
      </c>
      <c r="D246" s="430" t="s">
        <v>94</v>
      </c>
      <c r="E246" s="454" t="s">
        <v>578</v>
      </c>
      <c r="F246" s="351"/>
      <c r="G246" s="455"/>
      <c r="H246" s="351"/>
      <c r="I246" s="456"/>
      <c r="J246" s="433"/>
      <c r="K246" s="353"/>
      <c r="L246" s="433"/>
    </row>
    <row r="247">
      <c r="B247" s="453" t="s">
        <v>579</v>
      </c>
      <c r="C247" s="430" t="s">
        <v>15</v>
      </c>
      <c r="D247" s="430" t="s">
        <v>555</v>
      </c>
      <c r="E247" s="457" t="s">
        <v>580</v>
      </c>
      <c r="F247" s="351"/>
      <c r="G247" s="455"/>
      <c r="H247" s="351"/>
      <c r="I247" s="456"/>
      <c r="J247" s="433"/>
      <c r="K247" s="353"/>
      <c r="L247" s="433"/>
    </row>
    <row r="248">
      <c r="A248" s="433"/>
      <c r="B248" s="458"/>
      <c r="C248" s="433"/>
      <c r="D248" s="433"/>
      <c r="E248" s="459"/>
      <c r="F248" s="351"/>
      <c r="G248" s="455"/>
      <c r="H248" s="351"/>
      <c r="I248" s="456"/>
      <c r="J248" s="433"/>
      <c r="K248" s="353"/>
      <c r="L248" s="433"/>
    </row>
    <row r="249">
      <c r="A249" s="433"/>
      <c r="B249" s="458"/>
      <c r="C249" s="433"/>
      <c r="D249" s="433"/>
      <c r="E249" s="459"/>
      <c r="F249" s="351"/>
      <c r="G249" s="455"/>
      <c r="H249" s="351"/>
      <c r="I249" s="456"/>
      <c r="J249" s="433"/>
      <c r="K249" s="353"/>
      <c r="L249" s="433"/>
    </row>
    <row r="250">
      <c r="A250" s="433"/>
      <c r="B250" s="458"/>
      <c r="C250" s="433"/>
      <c r="D250" s="433"/>
      <c r="E250" s="459"/>
      <c r="F250" s="351"/>
      <c r="G250" s="455"/>
      <c r="H250" s="351"/>
      <c r="I250" s="456"/>
      <c r="J250" s="433"/>
      <c r="K250" s="353"/>
      <c r="L250" s="433"/>
    </row>
    <row r="251">
      <c r="A251" s="433"/>
      <c r="B251" s="456"/>
      <c r="C251" s="433"/>
      <c r="D251" s="433"/>
      <c r="E251" s="460"/>
      <c r="F251" s="351"/>
      <c r="G251" s="455"/>
      <c r="H251" s="351"/>
      <c r="I251" s="456"/>
      <c r="J251" s="433"/>
      <c r="K251" s="353"/>
      <c r="L251" s="433"/>
    </row>
    <row r="252">
      <c r="A252" s="433"/>
      <c r="B252" s="456"/>
      <c r="C252" s="433"/>
      <c r="D252" s="433"/>
      <c r="E252" s="460"/>
      <c r="F252" s="351"/>
      <c r="G252" s="455"/>
      <c r="H252" s="351"/>
      <c r="I252" s="456"/>
      <c r="J252" s="433"/>
      <c r="K252" s="353"/>
      <c r="L252" s="433"/>
    </row>
    <row r="253">
      <c r="A253" s="433"/>
      <c r="B253" s="456"/>
      <c r="C253" s="433"/>
      <c r="D253" s="433"/>
      <c r="E253" s="460"/>
      <c r="F253" s="351"/>
      <c r="G253" s="455"/>
      <c r="H253" s="351"/>
      <c r="I253" s="456"/>
      <c r="J253" s="433"/>
      <c r="K253" s="353"/>
      <c r="L253" s="433"/>
    </row>
    <row r="254">
      <c r="A254" s="433"/>
      <c r="B254" s="456"/>
      <c r="C254" s="433"/>
      <c r="D254" s="433"/>
      <c r="E254" s="460"/>
      <c r="F254" s="351"/>
      <c r="G254" s="455"/>
      <c r="H254" s="351"/>
      <c r="I254" s="456"/>
      <c r="J254" s="433"/>
      <c r="K254" s="353"/>
      <c r="L254" s="433"/>
    </row>
    <row r="255">
      <c r="A255" s="433"/>
      <c r="B255" s="456"/>
      <c r="C255" s="433"/>
      <c r="D255" s="433"/>
      <c r="E255" s="460"/>
      <c r="F255" s="351"/>
      <c r="G255" s="455"/>
      <c r="H255" s="351"/>
      <c r="I255" s="456"/>
      <c r="J255" s="433"/>
      <c r="K255" s="353"/>
      <c r="L255" s="433"/>
    </row>
    <row r="256">
      <c r="A256" s="433"/>
      <c r="B256" s="456"/>
      <c r="C256" s="433"/>
      <c r="D256" s="433"/>
      <c r="E256" s="460"/>
      <c r="F256" s="351"/>
      <c r="G256" s="455"/>
      <c r="H256" s="351"/>
      <c r="I256" s="456"/>
      <c r="J256" s="433"/>
      <c r="K256" s="353"/>
      <c r="L256" s="433"/>
    </row>
    <row r="257">
      <c r="A257" s="433"/>
      <c r="B257" s="456"/>
      <c r="C257" s="433"/>
      <c r="D257" s="433"/>
      <c r="E257" s="460"/>
      <c r="F257" s="351"/>
      <c r="G257" s="455"/>
      <c r="H257" s="351"/>
      <c r="I257" s="456"/>
      <c r="J257" s="433"/>
      <c r="K257" s="353"/>
      <c r="L257" s="433"/>
    </row>
    <row r="258">
      <c r="A258" s="433"/>
      <c r="B258" s="456"/>
      <c r="C258" s="433"/>
      <c r="D258" s="433"/>
      <c r="E258" s="460"/>
      <c r="F258" s="351"/>
      <c r="G258" s="455"/>
      <c r="H258" s="351"/>
      <c r="I258" s="456"/>
      <c r="J258" s="433"/>
      <c r="K258" s="353"/>
      <c r="L258" s="433"/>
    </row>
    <row r="259">
      <c r="A259" s="433"/>
      <c r="B259" s="456"/>
      <c r="C259" s="433"/>
      <c r="D259" s="433"/>
      <c r="E259" s="460"/>
      <c r="F259" s="351"/>
      <c r="G259" s="455"/>
      <c r="H259" s="351"/>
      <c r="I259" s="456"/>
      <c r="J259" s="433"/>
      <c r="K259" s="353"/>
      <c r="L259" s="433"/>
    </row>
    <row r="260">
      <c r="A260" s="433"/>
      <c r="B260" s="456"/>
      <c r="C260" s="433"/>
      <c r="D260" s="433"/>
      <c r="E260" s="460"/>
      <c r="F260" s="351"/>
      <c r="G260" s="455"/>
      <c r="H260" s="351"/>
      <c r="I260" s="456"/>
      <c r="J260" s="433"/>
      <c r="K260" s="353"/>
      <c r="L260" s="433"/>
    </row>
    <row r="261">
      <c r="A261" s="433"/>
      <c r="B261" s="456"/>
      <c r="C261" s="433"/>
      <c r="D261" s="433"/>
      <c r="E261" s="460"/>
      <c r="F261" s="351"/>
      <c r="G261" s="455"/>
      <c r="H261" s="351"/>
      <c r="I261" s="456"/>
      <c r="J261" s="433"/>
      <c r="K261" s="353"/>
      <c r="L261" s="433"/>
    </row>
    <row r="262">
      <c r="A262" s="433"/>
      <c r="B262" s="456"/>
      <c r="C262" s="433"/>
      <c r="D262" s="433"/>
      <c r="E262" s="460"/>
      <c r="F262" s="351"/>
      <c r="G262" s="455"/>
      <c r="H262" s="351"/>
      <c r="I262" s="456"/>
      <c r="J262" s="433"/>
      <c r="K262" s="353"/>
      <c r="L262" s="433"/>
    </row>
    <row r="263">
      <c r="A263" s="433"/>
      <c r="B263" s="456"/>
      <c r="C263" s="433"/>
      <c r="D263" s="433"/>
      <c r="E263" s="460"/>
      <c r="F263" s="351"/>
      <c r="G263" s="455"/>
      <c r="H263" s="351"/>
      <c r="I263" s="456"/>
      <c r="J263" s="433"/>
      <c r="K263" s="353"/>
      <c r="L263" s="433"/>
    </row>
    <row r="264">
      <c r="A264" s="433"/>
      <c r="B264" s="456"/>
      <c r="C264" s="433"/>
      <c r="D264" s="433"/>
      <c r="E264" s="460"/>
      <c r="F264" s="351"/>
      <c r="G264" s="455"/>
      <c r="H264" s="351"/>
      <c r="I264" s="456"/>
      <c r="J264" s="433"/>
      <c r="K264" s="353"/>
      <c r="L264" s="433"/>
    </row>
    <row r="265">
      <c r="A265" s="433"/>
      <c r="B265" s="456"/>
      <c r="C265" s="433"/>
      <c r="D265" s="433"/>
      <c r="E265" s="460"/>
      <c r="F265" s="351"/>
      <c r="G265" s="455"/>
      <c r="H265" s="351"/>
      <c r="I265" s="456"/>
      <c r="J265" s="433"/>
      <c r="K265" s="353"/>
      <c r="L265" s="433"/>
    </row>
    <row r="266">
      <c r="A266" s="433"/>
      <c r="B266" s="456"/>
      <c r="C266" s="433"/>
      <c r="D266" s="433"/>
      <c r="E266" s="460"/>
      <c r="F266" s="351"/>
      <c r="G266" s="455"/>
      <c r="H266" s="351"/>
      <c r="I266" s="456"/>
      <c r="J266" s="433"/>
      <c r="K266" s="353"/>
      <c r="L266" s="433"/>
    </row>
    <row r="267">
      <c r="A267" s="433"/>
      <c r="B267" s="456"/>
      <c r="C267" s="433"/>
      <c r="D267" s="433"/>
      <c r="E267" s="460"/>
      <c r="F267" s="351"/>
      <c r="G267" s="455"/>
      <c r="H267" s="351"/>
      <c r="I267" s="456"/>
      <c r="J267" s="433"/>
      <c r="K267" s="353"/>
      <c r="L267" s="433"/>
    </row>
    <row r="268">
      <c r="A268" s="433"/>
      <c r="B268" s="456"/>
      <c r="C268" s="433"/>
      <c r="D268" s="433"/>
      <c r="E268" s="460"/>
      <c r="F268" s="351"/>
      <c r="G268" s="455"/>
      <c r="H268" s="351"/>
      <c r="I268" s="456"/>
      <c r="J268" s="433"/>
      <c r="K268" s="353"/>
      <c r="L268" s="433"/>
    </row>
    <row r="269">
      <c r="A269" s="433"/>
      <c r="B269" s="456"/>
      <c r="C269" s="433"/>
      <c r="D269" s="433"/>
      <c r="E269" s="460"/>
      <c r="F269" s="351"/>
      <c r="G269" s="455"/>
      <c r="H269" s="351"/>
      <c r="I269" s="456"/>
      <c r="J269" s="433"/>
      <c r="K269" s="353"/>
      <c r="L269" s="433"/>
    </row>
    <row r="270">
      <c r="A270" s="433"/>
      <c r="B270" s="456"/>
      <c r="C270" s="433"/>
      <c r="D270" s="433"/>
      <c r="E270" s="460"/>
      <c r="F270" s="351"/>
      <c r="G270" s="455"/>
      <c r="H270" s="351"/>
      <c r="I270" s="456"/>
      <c r="J270" s="433"/>
      <c r="K270" s="353"/>
      <c r="L270" s="433"/>
    </row>
    <row r="271">
      <c r="A271" s="433"/>
      <c r="B271" s="456"/>
      <c r="C271" s="433"/>
      <c r="D271" s="433"/>
      <c r="E271" s="460"/>
      <c r="F271" s="351"/>
      <c r="G271" s="455"/>
      <c r="H271" s="351"/>
      <c r="I271" s="456"/>
      <c r="J271" s="433"/>
      <c r="K271" s="353"/>
      <c r="L271" s="433"/>
    </row>
    <row r="272">
      <c r="A272" s="433"/>
      <c r="B272" s="456"/>
      <c r="C272" s="433"/>
      <c r="D272" s="433"/>
      <c r="E272" s="460"/>
      <c r="F272" s="351"/>
      <c r="G272" s="455"/>
      <c r="H272" s="351"/>
      <c r="I272" s="456"/>
      <c r="J272" s="433"/>
      <c r="K272" s="353"/>
      <c r="L272" s="433"/>
    </row>
    <row r="273">
      <c r="A273" s="433"/>
      <c r="B273" s="456"/>
      <c r="C273" s="433"/>
      <c r="D273" s="433"/>
      <c r="E273" s="460"/>
      <c r="F273" s="351"/>
      <c r="G273" s="455"/>
      <c r="H273" s="351"/>
      <c r="I273" s="456"/>
      <c r="J273" s="433"/>
      <c r="K273" s="353"/>
      <c r="L273" s="433"/>
    </row>
    <row r="274">
      <c r="A274" s="433"/>
      <c r="B274" s="456"/>
      <c r="C274" s="433"/>
      <c r="D274" s="433"/>
      <c r="E274" s="460"/>
      <c r="F274" s="351"/>
      <c r="G274" s="455"/>
      <c r="H274" s="351"/>
      <c r="I274" s="456"/>
      <c r="J274" s="433"/>
      <c r="K274" s="353"/>
      <c r="L274" s="433"/>
    </row>
    <row r="275">
      <c r="A275" s="433"/>
      <c r="B275" s="456"/>
      <c r="C275" s="433"/>
      <c r="D275" s="433"/>
      <c r="E275" s="460"/>
      <c r="F275" s="351"/>
      <c r="G275" s="455"/>
      <c r="H275" s="351"/>
      <c r="I275" s="456"/>
      <c r="J275" s="433"/>
      <c r="K275" s="353"/>
      <c r="L275" s="433"/>
    </row>
    <row r="276">
      <c r="A276" s="433"/>
      <c r="B276" s="456"/>
      <c r="C276" s="433"/>
      <c r="D276" s="433"/>
      <c r="E276" s="460"/>
      <c r="F276" s="351"/>
      <c r="G276" s="455"/>
      <c r="H276" s="351"/>
      <c r="I276" s="456"/>
      <c r="J276" s="433"/>
      <c r="K276" s="353"/>
      <c r="L276" s="433"/>
    </row>
    <row r="277">
      <c r="A277" s="433"/>
      <c r="B277" s="456"/>
      <c r="C277" s="433"/>
      <c r="D277" s="433"/>
      <c r="E277" s="460"/>
      <c r="F277" s="351"/>
      <c r="G277" s="455"/>
      <c r="H277" s="351"/>
      <c r="I277" s="456"/>
      <c r="J277" s="433"/>
      <c r="K277" s="353"/>
      <c r="L277" s="433"/>
    </row>
    <row r="278">
      <c r="A278" s="433"/>
      <c r="B278" s="456"/>
      <c r="C278" s="433"/>
      <c r="D278" s="433"/>
      <c r="E278" s="460"/>
      <c r="F278" s="351"/>
      <c r="G278" s="455"/>
      <c r="H278" s="351"/>
      <c r="I278" s="456"/>
      <c r="J278" s="433"/>
      <c r="K278" s="353"/>
      <c r="L278" s="433"/>
    </row>
    <row r="279">
      <c r="A279" s="433"/>
      <c r="B279" s="456"/>
      <c r="C279" s="433"/>
      <c r="D279" s="433"/>
      <c r="E279" s="460"/>
      <c r="F279" s="351"/>
      <c r="G279" s="455"/>
      <c r="H279" s="351"/>
      <c r="I279" s="456"/>
      <c r="J279" s="433"/>
      <c r="K279" s="353"/>
      <c r="L279" s="433"/>
    </row>
    <row r="280">
      <c r="A280" s="433"/>
      <c r="B280" s="456"/>
      <c r="C280" s="433"/>
      <c r="D280" s="433"/>
      <c r="E280" s="460"/>
      <c r="F280" s="351"/>
      <c r="G280" s="455"/>
      <c r="H280" s="351"/>
      <c r="I280" s="456"/>
      <c r="J280" s="433"/>
      <c r="K280" s="353"/>
      <c r="L280" s="433"/>
    </row>
    <row r="281">
      <c r="A281" s="433"/>
      <c r="B281" s="456"/>
      <c r="C281" s="433"/>
      <c r="D281" s="433"/>
      <c r="E281" s="460"/>
      <c r="F281" s="351"/>
      <c r="G281" s="455"/>
      <c r="H281" s="351"/>
      <c r="I281" s="456"/>
      <c r="J281" s="433"/>
      <c r="K281" s="353"/>
      <c r="L281" s="433"/>
    </row>
    <row r="282">
      <c r="A282" s="433"/>
      <c r="B282" s="456"/>
      <c r="C282" s="433"/>
      <c r="D282" s="433"/>
      <c r="E282" s="460"/>
      <c r="F282" s="351"/>
      <c r="G282" s="455"/>
      <c r="H282" s="351"/>
      <c r="I282" s="456"/>
      <c r="J282" s="433"/>
      <c r="K282" s="353"/>
      <c r="L282" s="433"/>
    </row>
    <row r="283">
      <c r="A283" s="433"/>
      <c r="B283" s="456"/>
      <c r="C283" s="433"/>
      <c r="D283" s="433"/>
      <c r="E283" s="460"/>
      <c r="F283" s="351"/>
      <c r="G283" s="455"/>
      <c r="H283" s="351"/>
      <c r="I283" s="456"/>
      <c r="J283" s="433"/>
      <c r="K283" s="353"/>
      <c r="L283" s="433"/>
    </row>
    <row r="284">
      <c r="A284" s="433"/>
      <c r="B284" s="456"/>
      <c r="C284" s="433"/>
      <c r="D284" s="433"/>
      <c r="E284" s="460"/>
      <c r="F284" s="351"/>
      <c r="G284" s="455"/>
      <c r="H284" s="351"/>
      <c r="I284" s="456"/>
      <c r="J284" s="433"/>
      <c r="K284" s="353"/>
      <c r="L284" s="433"/>
    </row>
    <row r="285">
      <c r="A285" s="433"/>
      <c r="B285" s="456"/>
      <c r="C285" s="433"/>
      <c r="D285" s="433"/>
      <c r="E285" s="460"/>
      <c r="F285" s="351"/>
      <c r="G285" s="455"/>
      <c r="H285" s="351"/>
      <c r="I285" s="456"/>
      <c r="J285" s="433"/>
      <c r="K285" s="353"/>
      <c r="L285" s="433"/>
    </row>
    <row r="286">
      <c r="A286" s="433"/>
      <c r="B286" s="456"/>
      <c r="C286" s="433"/>
      <c r="D286" s="433"/>
      <c r="E286" s="460"/>
      <c r="F286" s="351"/>
      <c r="G286" s="455"/>
      <c r="H286" s="351"/>
      <c r="I286" s="456"/>
      <c r="J286" s="433"/>
      <c r="K286" s="353"/>
      <c r="L286" s="433"/>
    </row>
    <row r="287">
      <c r="A287" s="433"/>
      <c r="B287" s="456"/>
      <c r="C287" s="433"/>
      <c r="D287" s="433"/>
      <c r="E287" s="460"/>
      <c r="F287" s="351"/>
      <c r="G287" s="455"/>
      <c r="H287" s="351"/>
      <c r="I287" s="456"/>
      <c r="J287" s="433"/>
      <c r="K287" s="353"/>
      <c r="L287" s="433"/>
    </row>
    <row r="288">
      <c r="A288" s="433"/>
      <c r="B288" s="456"/>
      <c r="C288" s="433"/>
      <c r="D288" s="433"/>
      <c r="E288" s="460"/>
      <c r="F288" s="351"/>
      <c r="G288" s="455"/>
      <c r="H288" s="351"/>
      <c r="I288" s="456"/>
      <c r="J288" s="433"/>
      <c r="K288" s="353"/>
      <c r="L288" s="433"/>
    </row>
    <row r="289">
      <c r="A289" s="433"/>
      <c r="B289" s="456"/>
      <c r="C289" s="433"/>
      <c r="D289" s="433"/>
      <c r="E289" s="460"/>
      <c r="F289" s="351"/>
      <c r="G289" s="455"/>
      <c r="H289" s="351"/>
      <c r="I289" s="456"/>
      <c r="J289" s="433"/>
      <c r="K289" s="353"/>
      <c r="L289" s="433"/>
    </row>
    <row r="290">
      <c r="A290" s="433"/>
      <c r="B290" s="456"/>
      <c r="C290" s="433"/>
      <c r="D290" s="433"/>
      <c r="E290" s="460"/>
      <c r="F290" s="351"/>
      <c r="G290" s="455"/>
      <c r="H290" s="351"/>
      <c r="I290" s="456"/>
      <c r="J290" s="433"/>
      <c r="K290" s="353"/>
      <c r="L290" s="433"/>
    </row>
    <row r="291">
      <c r="A291" s="433"/>
      <c r="B291" s="456"/>
      <c r="C291" s="433"/>
      <c r="D291" s="433"/>
      <c r="E291" s="460"/>
      <c r="F291" s="351"/>
      <c r="G291" s="455"/>
      <c r="H291" s="351"/>
      <c r="I291" s="456"/>
      <c r="J291" s="433"/>
      <c r="K291" s="353"/>
      <c r="L291" s="433"/>
    </row>
    <row r="292">
      <c r="A292" s="433"/>
      <c r="B292" s="456"/>
      <c r="C292" s="433"/>
      <c r="D292" s="433"/>
      <c r="E292" s="460"/>
      <c r="F292" s="351"/>
      <c r="G292" s="455"/>
      <c r="H292" s="351"/>
      <c r="I292" s="456"/>
      <c r="J292" s="433"/>
      <c r="K292" s="353"/>
      <c r="L292" s="433"/>
    </row>
    <row r="293">
      <c r="A293" s="433"/>
      <c r="B293" s="456"/>
      <c r="C293" s="433"/>
      <c r="D293" s="433"/>
      <c r="E293" s="460"/>
      <c r="F293" s="351"/>
      <c r="G293" s="455"/>
      <c r="H293" s="351"/>
      <c r="I293" s="456"/>
      <c r="J293" s="433"/>
      <c r="K293" s="353"/>
      <c r="L293" s="433"/>
    </row>
    <row r="294">
      <c r="A294" s="433"/>
      <c r="B294" s="456"/>
      <c r="C294" s="433"/>
      <c r="D294" s="433"/>
      <c r="E294" s="460"/>
      <c r="F294" s="351"/>
      <c r="G294" s="455"/>
      <c r="H294" s="351"/>
      <c r="I294" s="456"/>
      <c r="J294" s="433"/>
      <c r="K294" s="353"/>
      <c r="L294" s="433"/>
    </row>
    <row r="295">
      <c r="A295" s="433"/>
      <c r="B295" s="456"/>
      <c r="C295" s="433"/>
      <c r="D295" s="433"/>
      <c r="E295" s="460"/>
      <c r="F295" s="351"/>
      <c r="G295" s="455"/>
      <c r="H295" s="351"/>
      <c r="I295" s="456"/>
      <c r="J295" s="433"/>
      <c r="K295" s="353"/>
      <c r="L295" s="433"/>
    </row>
    <row r="296">
      <c r="A296" s="433"/>
      <c r="B296" s="456"/>
      <c r="C296" s="433"/>
      <c r="D296" s="433"/>
      <c r="E296" s="460"/>
      <c r="F296" s="351"/>
      <c r="G296" s="455"/>
      <c r="H296" s="351"/>
      <c r="I296" s="456"/>
      <c r="J296" s="433"/>
      <c r="K296" s="353"/>
      <c r="L296" s="433"/>
    </row>
    <row r="297">
      <c r="A297" s="433"/>
      <c r="B297" s="456"/>
      <c r="C297" s="433"/>
      <c r="D297" s="433"/>
      <c r="E297" s="460"/>
      <c r="F297" s="351"/>
      <c r="G297" s="455"/>
      <c r="H297" s="351"/>
      <c r="I297" s="456"/>
      <c r="J297" s="433"/>
      <c r="K297" s="353"/>
      <c r="L297" s="433"/>
    </row>
    <row r="298">
      <c r="A298" s="433"/>
      <c r="B298" s="456"/>
      <c r="C298" s="433"/>
      <c r="D298" s="433"/>
      <c r="E298" s="460"/>
      <c r="F298" s="351"/>
      <c r="G298" s="455"/>
      <c r="H298" s="351"/>
      <c r="I298" s="456"/>
      <c r="J298" s="433"/>
      <c r="K298" s="353"/>
      <c r="L298" s="433"/>
    </row>
    <row r="299">
      <c r="A299" s="433"/>
      <c r="B299" s="456"/>
      <c r="C299" s="433"/>
      <c r="D299" s="433"/>
      <c r="E299" s="460"/>
      <c r="F299" s="351"/>
      <c r="G299" s="455"/>
      <c r="H299" s="351"/>
      <c r="I299" s="456"/>
      <c r="J299" s="433"/>
      <c r="K299" s="353"/>
      <c r="L299" s="433"/>
    </row>
    <row r="300">
      <c r="A300" s="433"/>
      <c r="B300" s="456"/>
      <c r="C300" s="433"/>
      <c r="D300" s="433"/>
      <c r="E300" s="460"/>
      <c r="F300" s="351"/>
      <c r="G300" s="455"/>
      <c r="H300" s="351"/>
      <c r="I300" s="456"/>
      <c r="J300" s="433"/>
      <c r="K300" s="353"/>
      <c r="L300" s="433"/>
    </row>
    <row r="301">
      <c r="A301" s="433"/>
      <c r="B301" s="456"/>
      <c r="C301" s="433"/>
      <c r="D301" s="433"/>
      <c r="E301" s="460"/>
      <c r="F301" s="351"/>
      <c r="G301" s="455"/>
      <c r="H301" s="351"/>
      <c r="I301" s="456"/>
      <c r="J301" s="433"/>
      <c r="K301" s="353"/>
      <c r="L301" s="433"/>
    </row>
    <row r="302">
      <c r="A302" s="433"/>
      <c r="B302" s="456"/>
      <c r="C302" s="433"/>
      <c r="D302" s="433"/>
      <c r="E302" s="460"/>
      <c r="F302" s="351"/>
      <c r="G302" s="455"/>
      <c r="H302" s="351"/>
      <c r="I302" s="456"/>
      <c r="J302" s="433"/>
      <c r="K302" s="353"/>
      <c r="L302" s="433"/>
    </row>
    <row r="303">
      <c r="A303" s="433"/>
      <c r="B303" s="456"/>
      <c r="C303" s="433"/>
      <c r="D303" s="433"/>
      <c r="E303" s="460"/>
      <c r="F303" s="351"/>
      <c r="G303" s="455"/>
      <c r="H303" s="351"/>
      <c r="I303" s="456"/>
      <c r="J303" s="433"/>
      <c r="K303" s="353"/>
      <c r="L303" s="433"/>
    </row>
    <row r="304">
      <c r="A304" s="433"/>
      <c r="B304" s="456"/>
      <c r="C304" s="433"/>
      <c r="D304" s="433"/>
      <c r="E304" s="460"/>
      <c r="F304" s="351"/>
      <c r="G304" s="455"/>
      <c r="H304" s="351"/>
      <c r="I304" s="456"/>
      <c r="J304" s="433"/>
      <c r="K304" s="353"/>
      <c r="L304" s="433"/>
    </row>
    <row r="305">
      <c r="A305" s="433"/>
      <c r="B305" s="456"/>
      <c r="C305" s="433"/>
      <c r="D305" s="433"/>
      <c r="E305" s="460"/>
      <c r="F305" s="351"/>
      <c r="G305" s="455"/>
      <c r="H305" s="351"/>
      <c r="I305" s="456"/>
      <c r="J305" s="433"/>
      <c r="K305" s="353"/>
      <c r="L305" s="433"/>
    </row>
    <row r="306">
      <c r="A306" s="433"/>
      <c r="B306" s="456"/>
      <c r="C306" s="433"/>
      <c r="D306" s="433"/>
      <c r="E306" s="460"/>
      <c r="F306" s="351"/>
      <c r="G306" s="455"/>
      <c r="H306" s="351"/>
      <c r="I306" s="456"/>
      <c r="J306" s="433"/>
      <c r="K306" s="353"/>
      <c r="L306" s="433"/>
    </row>
    <row r="307">
      <c r="A307" s="433"/>
      <c r="B307" s="456"/>
      <c r="C307" s="433"/>
      <c r="D307" s="433"/>
      <c r="E307" s="460"/>
      <c r="F307" s="351"/>
      <c r="G307" s="455"/>
      <c r="H307" s="351"/>
      <c r="I307" s="456"/>
      <c r="J307" s="433"/>
      <c r="K307" s="353"/>
      <c r="L307" s="433"/>
    </row>
    <row r="308">
      <c r="A308" s="433"/>
      <c r="B308" s="456"/>
      <c r="C308" s="433"/>
      <c r="D308" s="433"/>
      <c r="E308" s="460"/>
      <c r="F308" s="351"/>
      <c r="G308" s="455"/>
      <c r="H308" s="351"/>
      <c r="I308" s="456"/>
      <c r="J308" s="433"/>
      <c r="K308" s="353"/>
      <c r="L308" s="433"/>
    </row>
    <row r="309">
      <c r="A309" s="433"/>
      <c r="B309" s="456"/>
      <c r="C309" s="433"/>
      <c r="D309" s="433"/>
      <c r="E309" s="460"/>
      <c r="F309" s="351"/>
      <c r="G309" s="455"/>
      <c r="H309" s="351"/>
      <c r="I309" s="456"/>
      <c r="J309" s="433"/>
      <c r="K309" s="353"/>
      <c r="L309" s="433"/>
    </row>
    <row r="310">
      <c r="A310" s="433"/>
      <c r="B310" s="456"/>
      <c r="C310" s="433"/>
      <c r="D310" s="433"/>
      <c r="E310" s="460"/>
      <c r="F310" s="351"/>
      <c r="G310" s="455"/>
      <c r="H310" s="351"/>
      <c r="I310" s="456"/>
      <c r="J310" s="433"/>
      <c r="K310" s="353"/>
      <c r="L310" s="433"/>
    </row>
    <row r="311">
      <c r="A311" s="433"/>
      <c r="B311" s="456"/>
      <c r="C311" s="433"/>
      <c r="D311" s="433"/>
      <c r="E311" s="460"/>
      <c r="F311" s="351"/>
      <c r="G311" s="455"/>
      <c r="H311" s="351"/>
      <c r="I311" s="456"/>
      <c r="J311" s="433"/>
      <c r="K311" s="353"/>
      <c r="L311" s="433"/>
    </row>
    <row r="312">
      <c r="A312" s="433"/>
      <c r="B312" s="456"/>
      <c r="C312" s="433"/>
      <c r="D312" s="433"/>
      <c r="E312" s="460"/>
      <c r="F312" s="351"/>
      <c r="G312" s="455"/>
      <c r="H312" s="351"/>
      <c r="I312" s="456"/>
      <c r="J312" s="433"/>
      <c r="K312" s="353"/>
      <c r="L312" s="433"/>
    </row>
    <row r="313">
      <c r="A313" s="433"/>
      <c r="B313" s="456"/>
      <c r="C313" s="433"/>
      <c r="D313" s="433"/>
      <c r="E313" s="460"/>
      <c r="F313" s="351"/>
      <c r="G313" s="455"/>
      <c r="H313" s="351"/>
      <c r="I313" s="456"/>
      <c r="J313" s="433"/>
      <c r="K313" s="353"/>
      <c r="L313" s="433"/>
    </row>
    <row r="314">
      <c r="A314" s="433"/>
      <c r="B314" s="456"/>
      <c r="C314" s="433"/>
      <c r="D314" s="433"/>
      <c r="E314" s="460"/>
      <c r="F314" s="351"/>
      <c r="G314" s="455"/>
      <c r="H314" s="351"/>
      <c r="I314" s="456"/>
      <c r="J314" s="433"/>
      <c r="K314" s="353"/>
      <c r="L314" s="433"/>
    </row>
    <row r="315">
      <c r="A315" s="433"/>
      <c r="B315" s="456"/>
      <c r="C315" s="433"/>
      <c r="D315" s="433"/>
      <c r="E315" s="460"/>
      <c r="F315" s="351"/>
      <c r="G315" s="455"/>
      <c r="H315" s="351"/>
      <c r="I315" s="456"/>
      <c r="J315" s="433"/>
      <c r="K315" s="353"/>
      <c r="L315" s="433"/>
    </row>
    <row r="316">
      <c r="A316" s="433"/>
      <c r="B316" s="456"/>
      <c r="C316" s="433"/>
      <c r="D316" s="433"/>
      <c r="E316" s="460"/>
      <c r="F316" s="351"/>
      <c r="G316" s="455"/>
      <c r="H316" s="351"/>
      <c r="I316" s="456"/>
      <c r="J316" s="433"/>
      <c r="K316" s="353"/>
      <c r="L316" s="433"/>
    </row>
    <row r="317">
      <c r="A317" s="433"/>
      <c r="B317" s="456"/>
      <c r="C317" s="433"/>
      <c r="D317" s="433"/>
      <c r="E317" s="460"/>
      <c r="F317" s="351"/>
      <c r="G317" s="455"/>
      <c r="H317" s="351"/>
      <c r="I317" s="456"/>
      <c r="J317" s="433"/>
      <c r="K317" s="353"/>
      <c r="L317" s="433"/>
    </row>
    <row r="318">
      <c r="A318" s="433"/>
      <c r="B318" s="456"/>
      <c r="C318" s="433"/>
      <c r="D318" s="433"/>
      <c r="E318" s="460"/>
      <c r="F318" s="351"/>
      <c r="G318" s="455"/>
      <c r="H318" s="351"/>
      <c r="I318" s="456"/>
      <c r="J318" s="433"/>
      <c r="K318" s="353"/>
      <c r="L318" s="433"/>
    </row>
    <row r="319">
      <c r="A319" s="433"/>
      <c r="B319" s="456"/>
      <c r="C319" s="433"/>
      <c r="D319" s="433"/>
      <c r="E319" s="460"/>
      <c r="F319" s="351"/>
      <c r="G319" s="455"/>
      <c r="H319" s="351"/>
      <c r="I319" s="456"/>
      <c r="J319" s="433"/>
      <c r="K319" s="353"/>
      <c r="L319" s="433"/>
    </row>
    <row r="320">
      <c r="A320" s="433"/>
      <c r="B320" s="456"/>
      <c r="C320" s="433"/>
      <c r="D320" s="433"/>
      <c r="E320" s="460"/>
      <c r="F320" s="351"/>
      <c r="G320" s="455"/>
      <c r="H320" s="351"/>
      <c r="I320" s="456"/>
      <c r="J320" s="433"/>
      <c r="K320" s="353"/>
      <c r="L320" s="433"/>
    </row>
    <row r="321">
      <c r="A321" s="433"/>
      <c r="B321" s="456"/>
      <c r="C321" s="433"/>
      <c r="D321" s="433"/>
      <c r="E321" s="460"/>
      <c r="F321" s="351"/>
      <c r="G321" s="455"/>
      <c r="H321" s="351"/>
      <c r="I321" s="456"/>
      <c r="J321" s="433"/>
      <c r="K321" s="353"/>
      <c r="L321" s="433"/>
    </row>
    <row r="322">
      <c r="A322" s="433"/>
      <c r="B322" s="456"/>
      <c r="C322" s="433"/>
      <c r="D322" s="433"/>
      <c r="E322" s="460"/>
      <c r="F322" s="351"/>
      <c r="G322" s="455"/>
      <c r="H322" s="351"/>
      <c r="I322" s="456"/>
      <c r="J322" s="433"/>
      <c r="K322" s="353"/>
      <c r="L322" s="433"/>
    </row>
    <row r="323">
      <c r="A323" s="433"/>
      <c r="B323" s="456"/>
      <c r="C323" s="433"/>
      <c r="D323" s="433"/>
      <c r="E323" s="460"/>
      <c r="F323" s="351"/>
      <c r="G323" s="455"/>
      <c r="H323" s="351"/>
      <c r="I323" s="456"/>
      <c r="J323" s="433"/>
      <c r="K323" s="353"/>
      <c r="L323" s="433"/>
    </row>
    <row r="324">
      <c r="A324" s="433"/>
      <c r="B324" s="456"/>
      <c r="C324" s="433"/>
      <c r="D324" s="433"/>
      <c r="E324" s="460"/>
      <c r="F324" s="351"/>
      <c r="G324" s="455"/>
      <c r="H324" s="351"/>
      <c r="I324" s="456"/>
      <c r="J324" s="433"/>
      <c r="K324" s="353"/>
      <c r="L324" s="433"/>
    </row>
    <row r="325">
      <c r="A325" s="433"/>
      <c r="B325" s="456"/>
      <c r="C325" s="433"/>
      <c r="D325" s="433"/>
      <c r="E325" s="460"/>
      <c r="F325" s="351"/>
      <c r="G325" s="455"/>
      <c r="H325" s="351"/>
      <c r="I325" s="456"/>
      <c r="J325" s="433"/>
      <c r="K325" s="353"/>
      <c r="L325" s="433"/>
    </row>
    <row r="326">
      <c r="A326" s="433"/>
      <c r="B326" s="456"/>
      <c r="C326" s="433"/>
      <c r="D326" s="433"/>
      <c r="E326" s="460"/>
      <c r="F326" s="351"/>
      <c r="G326" s="455"/>
      <c r="H326" s="351"/>
      <c r="I326" s="456"/>
      <c r="J326" s="433"/>
      <c r="K326" s="353"/>
      <c r="L326" s="433"/>
    </row>
    <row r="327">
      <c r="A327" s="433"/>
      <c r="B327" s="456"/>
      <c r="C327" s="433"/>
      <c r="D327" s="433"/>
      <c r="E327" s="460"/>
      <c r="F327" s="351"/>
      <c r="G327" s="455"/>
      <c r="H327" s="351"/>
      <c r="I327" s="456"/>
      <c r="J327" s="433"/>
      <c r="K327" s="353"/>
      <c r="L327" s="433"/>
    </row>
    <row r="328">
      <c r="A328" s="433"/>
      <c r="B328" s="456"/>
      <c r="C328" s="433"/>
      <c r="D328" s="433"/>
      <c r="E328" s="460"/>
      <c r="F328" s="351"/>
      <c r="G328" s="455"/>
      <c r="H328" s="351"/>
      <c r="I328" s="456"/>
      <c r="J328" s="433"/>
      <c r="K328" s="353"/>
      <c r="L328" s="433"/>
    </row>
    <row r="329">
      <c r="A329" s="433"/>
      <c r="B329" s="456"/>
      <c r="C329" s="433"/>
      <c r="D329" s="433"/>
      <c r="E329" s="460"/>
      <c r="F329" s="351"/>
      <c r="G329" s="455"/>
      <c r="H329" s="351"/>
      <c r="I329" s="456"/>
      <c r="J329" s="433"/>
      <c r="K329" s="353"/>
      <c r="L329" s="433"/>
    </row>
    <row r="330">
      <c r="A330" s="433"/>
      <c r="B330" s="456"/>
      <c r="C330" s="433"/>
      <c r="D330" s="433"/>
      <c r="E330" s="460"/>
      <c r="F330" s="351"/>
      <c r="G330" s="455"/>
      <c r="H330" s="351"/>
      <c r="I330" s="456"/>
      <c r="J330" s="433"/>
      <c r="K330" s="353"/>
      <c r="L330" s="433"/>
    </row>
    <row r="331">
      <c r="A331" s="433"/>
      <c r="B331" s="456"/>
      <c r="C331" s="433"/>
      <c r="D331" s="433"/>
      <c r="E331" s="460"/>
      <c r="F331" s="351"/>
      <c r="G331" s="455"/>
      <c r="H331" s="351"/>
      <c r="I331" s="456"/>
      <c r="J331" s="433"/>
      <c r="K331" s="353"/>
      <c r="L331" s="433"/>
    </row>
    <row r="332">
      <c r="A332" s="433"/>
      <c r="B332" s="456"/>
      <c r="C332" s="433"/>
      <c r="D332" s="433"/>
      <c r="E332" s="460"/>
      <c r="F332" s="351"/>
      <c r="G332" s="455"/>
      <c r="H332" s="351"/>
      <c r="I332" s="456"/>
      <c r="J332" s="433"/>
      <c r="K332" s="353"/>
      <c r="L332" s="433"/>
    </row>
    <row r="333">
      <c r="A333" s="433"/>
      <c r="B333" s="456"/>
      <c r="C333" s="433"/>
      <c r="D333" s="433"/>
      <c r="E333" s="460"/>
      <c r="F333" s="351"/>
      <c r="G333" s="455"/>
      <c r="H333" s="351"/>
      <c r="I333" s="456"/>
      <c r="J333" s="433"/>
      <c r="K333" s="353"/>
      <c r="L333" s="433"/>
    </row>
    <row r="334">
      <c r="A334" s="433"/>
      <c r="B334" s="456"/>
      <c r="C334" s="433"/>
      <c r="D334" s="433"/>
      <c r="E334" s="460"/>
      <c r="F334" s="351"/>
      <c r="G334" s="455"/>
      <c r="H334" s="351"/>
      <c r="I334" s="456"/>
      <c r="J334" s="433"/>
      <c r="K334" s="353"/>
      <c r="L334" s="433"/>
    </row>
    <row r="335">
      <c r="A335" s="433"/>
      <c r="B335" s="456"/>
      <c r="C335" s="433"/>
      <c r="D335" s="433"/>
      <c r="E335" s="460"/>
      <c r="F335" s="351"/>
      <c r="G335" s="455"/>
      <c r="H335" s="351"/>
      <c r="I335" s="456"/>
      <c r="J335" s="433"/>
      <c r="K335" s="353"/>
      <c r="L335" s="433"/>
    </row>
    <row r="336">
      <c r="A336" s="433"/>
      <c r="B336" s="456"/>
      <c r="C336" s="433"/>
      <c r="D336" s="433"/>
      <c r="E336" s="460"/>
      <c r="F336" s="351"/>
      <c r="G336" s="455"/>
      <c r="H336" s="351"/>
      <c r="I336" s="456"/>
      <c r="J336" s="433"/>
      <c r="K336" s="353"/>
      <c r="L336" s="433"/>
    </row>
    <row r="337">
      <c r="A337" s="433"/>
      <c r="B337" s="456"/>
      <c r="C337" s="433"/>
      <c r="D337" s="433"/>
      <c r="E337" s="460"/>
      <c r="F337" s="351"/>
      <c r="G337" s="455"/>
      <c r="H337" s="351"/>
      <c r="I337" s="456"/>
      <c r="J337" s="433"/>
      <c r="K337" s="353"/>
      <c r="L337" s="433"/>
    </row>
    <row r="338">
      <c r="A338" s="433"/>
      <c r="B338" s="456"/>
      <c r="C338" s="433"/>
      <c r="D338" s="433"/>
      <c r="E338" s="460"/>
      <c r="F338" s="351"/>
      <c r="G338" s="455"/>
      <c r="H338" s="351"/>
      <c r="I338" s="456"/>
      <c r="J338" s="433"/>
      <c r="K338" s="353"/>
      <c r="L338" s="433"/>
    </row>
    <row r="339">
      <c r="A339" s="433"/>
      <c r="B339" s="456"/>
      <c r="C339" s="433"/>
      <c r="D339" s="433"/>
      <c r="E339" s="460"/>
      <c r="F339" s="351"/>
      <c r="G339" s="455"/>
      <c r="H339" s="351"/>
      <c r="I339" s="456"/>
      <c r="J339" s="433"/>
      <c r="K339" s="353"/>
      <c r="L339" s="433"/>
    </row>
    <row r="340">
      <c r="A340" s="433"/>
      <c r="B340" s="456"/>
      <c r="C340" s="433"/>
      <c r="D340" s="433"/>
      <c r="E340" s="460"/>
      <c r="F340" s="351"/>
      <c r="G340" s="455"/>
      <c r="H340" s="351"/>
      <c r="I340" s="456"/>
      <c r="J340" s="433"/>
      <c r="K340" s="353"/>
      <c r="L340" s="433"/>
    </row>
    <row r="341">
      <c r="A341" s="433"/>
      <c r="B341" s="456"/>
      <c r="C341" s="433"/>
      <c r="D341" s="433"/>
      <c r="E341" s="460"/>
      <c r="F341" s="351"/>
      <c r="G341" s="455"/>
      <c r="H341" s="351"/>
      <c r="I341" s="456"/>
      <c r="J341" s="433"/>
      <c r="K341" s="353"/>
      <c r="L341" s="433"/>
    </row>
    <row r="342">
      <c r="A342" s="433"/>
      <c r="B342" s="456"/>
      <c r="C342" s="433"/>
      <c r="D342" s="433"/>
      <c r="E342" s="460"/>
      <c r="F342" s="351"/>
      <c r="G342" s="455"/>
      <c r="H342" s="351"/>
      <c r="I342" s="456"/>
      <c r="J342" s="433"/>
      <c r="K342" s="353"/>
      <c r="L342" s="433"/>
    </row>
    <row r="343">
      <c r="A343" s="433"/>
      <c r="B343" s="456"/>
      <c r="C343" s="433"/>
      <c r="D343" s="433"/>
      <c r="E343" s="460"/>
      <c r="F343" s="351"/>
      <c r="G343" s="455"/>
      <c r="H343" s="351"/>
      <c r="I343" s="456"/>
      <c r="J343" s="433"/>
      <c r="K343" s="353"/>
      <c r="L343" s="433"/>
    </row>
    <row r="344">
      <c r="A344" s="433"/>
      <c r="B344" s="456"/>
      <c r="C344" s="433"/>
      <c r="D344" s="433"/>
      <c r="E344" s="460"/>
      <c r="F344" s="351"/>
      <c r="G344" s="455"/>
      <c r="H344" s="351"/>
      <c r="I344" s="456"/>
      <c r="J344" s="433"/>
      <c r="K344" s="353"/>
      <c r="L344" s="433"/>
    </row>
    <row r="345">
      <c r="A345" s="433"/>
      <c r="B345" s="456"/>
      <c r="C345" s="433"/>
      <c r="D345" s="433"/>
      <c r="E345" s="460"/>
      <c r="F345" s="351"/>
      <c r="G345" s="455"/>
      <c r="H345" s="351"/>
      <c r="I345" s="456"/>
      <c r="J345" s="433"/>
      <c r="K345" s="353"/>
      <c r="L345" s="433"/>
    </row>
    <row r="346">
      <c r="A346" s="433"/>
      <c r="B346" s="456"/>
      <c r="C346" s="433"/>
      <c r="D346" s="433"/>
      <c r="E346" s="460"/>
      <c r="F346" s="351"/>
      <c r="G346" s="455"/>
      <c r="H346" s="351"/>
      <c r="I346" s="456"/>
      <c r="J346" s="433"/>
      <c r="K346" s="353"/>
      <c r="L346" s="433"/>
    </row>
    <row r="347">
      <c r="A347" s="433"/>
      <c r="B347" s="456"/>
      <c r="C347" s="433"/>
      <c r="D347" s="433"/>
      <c r="E347" s="460"/>
      <c r="F347" s="351"/>
      <c r="G347" s="455"/>
      <c r="H347" s="351"/>
      <c r="I347" s="456"/>
      <c r="J347" s="433"/>
      <c r="K347" s="353"/>
      <c r="L347" s="433"/>
    </row>
    <row r="348">
      <c r="A348" s="433"/>
      <c r="B348" s="456"/>
      <c r="C348" s="433"/>
      <c r="D348" s="433"/>
      <c r="E348" s="460"/>
      <c r="F348" s="351"/>
      <c r="G348" s="455"/>
      <c r="H348" s="351"/>
      <c r="I348" s="456"/>
      <c r="J348" s="433"/>
      <c r="K348" s="353"/>
      <c r="L348" s="433"/>
    </row>
    <row r="349">
      <c r="A349" s="433"/>
      <c r="B349" s="456"/>
      <c r="C349" s="433"/>
      <c r="D349" s="433"/>
      <c r="E349" s="460"/>
      <c r="F349" s="351"/>
      <c r="G349" s="455"/>
      <c r="H349" s="351"/>
      <c r="I349" s="456"/>
      <c r="J349" s="433"/>
      <c r="K349" s="353"/>
      <c r="L349" s="433"/>
    </row>
    <row r="350">
      <c r="A350" s="433"/>
      <c r="B350" s="456"/>
      <c r="C350" s="433"/>
      <c r="D350" s="433"/>
      <c r="E350" s="460"/>
      <c r="F350" s="351"/>
      <c r="G350" s="455"/>
      <c r="H350" s="351"/>
      <c r="I350" s="456"/>
      <c r="J350" s="433"/>
      <c r="K350" s="353"/>
      <c r="L350" s="433"/>
    </row>
    <row r="351">
      <c r="A351" s="433"/>
      <c r="B351" s="456"/>
      <c r="C351" s="433"/>
      <c r="D351" s="433"/>
      <c r="E351" s="460"/>
      <c r="F351" s="351"/>
      <c r="G351" s="455"/>
      <c r="H351" s="351"/>
      <c r="I351" s="456"/>
      <c r="J351" s="433"/>
      <c r="K351" s="353"/>
      <c r="L351" s="433"/>
    </row>
    <row r="352">
      <c r="A352" s="433"/>
      <c r="B352" s="456"/>
      <c r="C352" s="433"/>
      <c r="D352" s="433"/>
      <c r="E352" s="460"/>
      <c r="F352" s="351"/>
      <c r="G352" s="455"/>
      <c r="H352" s="351"/>
      <c r="I352" s="456"/>
      <c r="J352" s="433"/>
      <c r="K352" s="353"/>
      <c r="L352" s="433"/>
    </row>
    <row r="353">
      <c r="A353" s="433"/>
      <c r="B353" s="456"/>
      <c r="C353" s="433"/>
      <c r="D353" s="433"/>
      <c r="E353" s="460"/>
      <c r="F353" s="351"/>
      <c r="G353" s="455"/>
      <c r="H353" s="351"/>
      <c r="I353" s="456"/>
      <c r="J353" s="433"/>
      <c r="K353" s="353"/>
      <c r="L353" s="433"/>
    </row>
    <row r="354">
      <c r="A354" s="433"/>
      <c r="B354" s="456"/>
      <c r="C354" s="433"/>
      <c r="D354" s="433"/>
      <c r="E354" s="460"/>
      <c r="F354" s="351"/>
      <c r="G354" s="455"/>
      <c r="H354" s="351"/>
      <c r="I354" s="456"/>
      <c r="J354" s="433"/>
      <c r="K354" s="353"/>
      <c r="L354" s="433"/>
    </row>
    <row r="355">
      <c r="A355" s="433"/>
      <c r="B355" s="456"/>
      <c r="C355" s="433"/>
      <c r="D355" s="433"/>
      <c r="E355" s="460"/>
      <c r="F355" s="351"/>
      <c r="G355" s="455"/>
      <c r="H355" s="351"/>
      <c r="I355" s="456"/>
      <c r="J355" s="433"/>
      <c r="K355" s="353"/>
      <c r="L355" s="433"/>
    </row>
    <row r="356">
      <c r="A356" s="433"/>
      <c r="B356" s="456"/>
      <c r="C356" s="433"/>
      <c r="D356" s="433"/>
      <c r="E356" s="460"/>
      <c r="F356" s="351"/>
      <c r="G356" s="455"/>
      <c r="H356" s="351"/>
      <c r="I356" s="456"/>
      <c r="J356" s="433"/>
      <c r="K356" s="353"/>
      <c r="L356" s="433"/>
    </row>
    <row r="357">
      <c r="A357" s="433"/>
      <c r="B357" s="456"/>
      <c r="C357" s="433"/>
      <c r="D357" s="433"/>
      <c r="E357" s="460"/>
      <c r="F357" s="351"/>
      <c r="G357" s="455"/>
      <c r="H357" s="351"/>
      <c r="I357" s="456"/>
      <c r="J357" s="433"/>
      <c r="K357" s="353"/>
      <c r="L357" s="433"/>
    </row>
    <row r="358">
      <c r="A358" s="433"/>
      <c r="B358" s="456"/>
      <c r="C358" s="433"/>
      <c r="D358" s="433"/>
      <c r="E358" s="460"/>
      <c r="F358" s="351"/>
      <c r="G358" s="455"/>
      <c r="H358" s="351"/>
      <c r="I358" s="456"/>
      <c r="J358" s="433"/>
      <c r="K358" s="353"/>
      <c r="L358" s="433"/>
    </row>
    <row r="359">
      <c r="A359" s="433"/>
      <c r="B359" s="456"/>
      <c r="C359" s="433"/>
      <c r="D359" s="433"/>
      <c r="E359" s="460"/>
      <c r="F359" s="351"/>
      <c r="G359" s="455"/>
      <c r="H359" s="351"/>
      <c r="I359" s="456"/>
      <c r="J359" s="433"/>
      <c r="K359" s="353"/>
      <c r="L359" s="433"/>
    </row>
    <row r="360">
      <c r="A360" s="433"/>
      <c r="B360" s="456"/>
      <c r="C360" s="433"/>
      <c r="D360" s="433"/>
      <c r="E360" s="460"/>
      <c r="F360" s="351"/>
      <c r="G360" s="455"/>
      <c r="H360" s="351"/>
      <c r="I360" s="456"/>
      <c r="J360" s="433"/>
      <c r="K360" s="353"/>
      <c r="L360" s="433"/>
    </row>
    <row r="361">
      <c r="A361" s="433"/>
      <c r="B361" s="456"/>
      <c r="C361" s="433"/>
      <c r="D361" s="433"/>
      <c r="E361" s="460"/>
      <c r="F361" s="351"/>
      <c r="G361" s="455"/>
      <c r="H361" s="351"/>
      <c r="I361" s="456"/>
      <c r="J361" s="433"/>
      <c r="K361" s="353"/>
      <c r="L361" s="433"/>
    </row>
    <row r="362">
      <c r="A362" s="433"/>
      <c r="B362" s="456"/>
      <c r="C362" s="433"/>
      <c r="D362" s="433"/>
      <c r="E362" s="460"/>
      <c r="F362" s="351"/>
      <c r="G362" s="455"/>
      <c r="H362" s="351"/>
      <c r="I362" s="456"/>
      <c r="J362" s="433"/>
      <c r="K362" s="353"/>
      <c r="L362" s="433"/>
    </row>
    <row r="363">
      <c r="A363" s="433"/>
      <c r="B363" s="456"/>
      <c r="C363" s="433"/>
      <c r="D363" s="433"/>
      <c r="E363" s="460"/>
      <c r="F363" s="351"/>
      <c r="G363" s="455"/>
      <c r="H363" s="351"/>
      <c r="I363" s="456"/>
      <c r="J363" s="433"/>
      <c r="K363" s="353"/>
      <c r="L363" s="433"/>
    </row>
    <row r="364">
      <c r="A364" s="433"/>
      <c r="B364" s="456"/>
      <c r="C364" s="433"/>
      <c r="D364" s="433"/>
      <c r="E364" s="460"/>
      <c r="F364" s="351"/>
      <c r="G364" s="455"/>
      <c r="H364" s="351"/>
      <c r="I364" s="456"/>
      <c r="J364" s="433"/>
      <c r="K364" s="353"/>
      <c r="L364" s="433"/>
    </row>
    <row r="365">
      <c r="A365" s="433"/>
      <c r="B365" s="456"/>
      <c r="C365" s="433"/>
      <c r="D365" s="433"/>
      <c r="E365" s="460"/>
      <c r="F365" s="351"/>
      <c r="G365" s="455"/>
      <c r="H365" s="351"/>
      <c r="I365" s="456"/>
      <c r="J365" s="433"/>
      <c r="K365" s="353"/>
      <c r="L365" s="433"/>
    </row>
    <row r="366">
      <c r="A366" s="433"/>
      <c r="B366" s="456"/>
      <c r="C366" s="433"/>
      <c r="D366" s="433"/>
      <c r="E366" s="460"/>
      <c r="F366" s="351"/>
      <c r="G366" s="455"/>
      <c r="H366" s="351"/>
      <c r="I366" s="456"/>
      <c r="J366" s="433"/>
      <c r="K366" s="353"/>
      <c r="L366" s="433"/>
    </row>
    <row r="367">
      <c r="A367" s="433"/>
      <c r="B367" s="456"/>
      <c r="C367" s="433"/>
      <c r="D367" s="433"/>
      <c r="E367" s="460"/>
      <c r="F367" s="351"/>
      <c r="G367" s="455"/>
      <c r="H367" s="351"/>
      <c r="I367" s="456"/>
      <c r="J367" s="433"/>
      <c r="K367" s="353"/>
      <c r="L367" s="433"/>
    </row>
    <row r="368">
      <c r="A368" s="433"/>
      <c r="B368" s="456"/>
      <c r="C368" s="433"/>
      <c r="D368" s="433"/>
      <c r="E368" s="460"/>
      <c r="F368" s="351"/>
      <c r="G368" s="455"/>
      <c r="H368" s="351"/>
      <c r="I368" s="456"/>
      <c r="J368" s="433"/>
      <c r="K368" s="353"/>
      <c r="L368" s="433"/>
    </row>
    <row r="369">
      <c r="A369" s="433"/>
      <c r="B369" s="456"/>
      <c r="C369" s="433"/>
      <c r="D369" s="433"/>
      <c r="E369" s="460"/>
      <c r="F369" s="351"/>
      <c r="G369" s="455"/>
      <c r="H369" s="351"/>
      <c r="I369" s="456"/>
      <c r="J369" s="433"/>
      <c r="K369" s="353"/>
      <c r="L369" s="433"/>
    </row>
    <row r="370">
      <c r="A370" s="433"/>
      <c r="B370" s="456"/>
      <c r="C370" s="433"/>
      <c r="D370" s="433"/>
      <c r="E370" s="460"/>
      <c r="F370" s="351"/>
      <c r="G370" s="455"/>
      <c r="H370" s="351"/>
      <c r="I370" s="456"/>
      <c r="J370" s="433"/>
      <c r="K370" s="353"/>
      <c r="L370" s="433"/>
    </row>
    <row r="371">
      <c r="A371" s="433"/>
      <c r="B371" s="456"/>
      <c r="C371" s="433"/>
      <c r="D371" s="433"/>
      <c r="E371" s="460"/>
      <c r="F371" s="351"/>
      <c r="G371" s="455"/>
      <c r="H371" s="351"/>
      <c r="I371" s="456"/>
      <c r="J371" s="433"/>
      <c r="K371" s="353"/>
      <c r="L371" s="433"/>
    </row>
    <row r="372">
      <c r="A372" s="433"/>
      <c r="B372" s="456"/>
      <c r="C372" s="433"/>
      <c r="D372" s="433"/>
      <c r="E372" s="460"/>
      <c r="F372" s="351"/>
      <c r="G372" s="455"/>
      <c r="H372" s="351"/>
      <c r="I372" s="456"/>
      <c r="J372" s="433"/>
      <c r="K372" s="353"/>
      <c r="L372" s="433"/>
    </row>
    <row r="373">
      <c r="A373" s="433"/>
      <c r="B373" s="456"/>
      <c r="C373" s="433"/>
      <c r="D373" s="433"/>
      <c r="E373" s="460"/>
      <c r="F373" s="351"/>
      <c r="G373" s="455"/>
      <c r="H373" s="351"/>
      <c r="I373" s="456"/>
      <c r="J373" s="433"/>
      <c r="K373" s="353"/>
      <c r="L373" s="433"/>
    </row>
    <row r="374">
      <c r="A374" s="433"/>
      <c r="B374" s="456"/>
      <c r="C374" s="433"/>
      <c r="D374" s="433"/>
      <c r="E374" s="460"/>
      <c r="F374" s="351"/>
      <c r="G374" s="455"/>
      <c r="H374" s="351"/>
      <c r="I374" s="456"/>
      <c r="J374" s="433"/>
      <c r="K374" s="353"/>
      <c r="L374" s="433"/>
    </row>
    <row r="375">
      <c r="A375" s="433"/>
      <c r="B375" s="456"/>
      <c r="C375" s="433"/>
      <c r="D375" s="433"/>
      <c r="E375" s="460"/>
      <c r="F375" s="351"/>
      <c r="G375" s="455"/>
      <c r="H375" s="351"/>
      <c r="I375" s="456"/>
      <c r="J375" s="433"/>
      <c r="K375" s="353"/>
      <c r="L375" s="433"/>
    </row>
    <row r="376">
      <c r="A376" s="433"/>
      <c r="B376" s="456"/>
      <c r="C376" s="433"/>
      <c r="D376" s="433"/>
      <c r="E376" s="460"/>
      <c r="F376" s="351"/>
      <c r="G376" s="455"/>
      <c r="H376" s="351"/>
      <c r="I376" s="456"/>
      <c r="J376" s="433"/>
      <c r="K376" s="353"/>
      <c r="L376" s="433"/>
    </row>
    <row r="377">
      <c r="A377" s="433"/>
      <c r="B377" s="456"/>
      <c r="C377" s="433"/>
      <c r="D377" s="433"/>
      <c r="E377" s="460"/>
      <c r="F377" s="351"/>
      <c r="G377" s="455"/>
      <c r="H377" s="351"/>
      <c r="I377" s="456"/>
      <c r="J377" s="433"/>
      <c r="K377" s="353"/>
      <c r="L377" s="433"/>
    </row>
    <row r="378">
      <c r="A378" s="433"/>
      <c r="B378" s="456"/>
      <c r="C378" s="433"/>
      <c r="D378" s="433"/>
      <c r="E378" s="460"/>
      <c r="F378" s="351"/>
      <c r="G378" s="455"/>
      <c r="H378" s="351"/>
      <c r="I378" s="456"/>
      <c r="J378" s="433"/>
      <c r="K378" s="353"/>
      <c r="L378" s="433"/>
    </row>
    <row r="379">
      <c r="A379" s="433"/>
      <c r="B379" s="456"/>
      <c r="C379" s="433"/>
      <c r="D379" s="433"/>
      <c r="E379" s="460"/>
      <c r="F379" s="351"/>
      <c r="G379" s="455"/>
      <c r="H379" s="351"/>
      <c r="I379" s="456"/>
      <c r="J379" s="433"/>
      <c r="K379" s="353"/>
      <c r="L379" s="433"/>
    </row>
    <row r="380">
      <c r="A380" s="433"/>
      <c r="B380" s="456"/>
      <c r="C380" s="433"/>
      <c r="D380" s="433"/>
      <c r="E380" s="460"/>
      <c r="F380" s="351"/>
      <c r="G380" s="455"/>
      <c r="H380" s="351"/>
      <c r="I380" s="456"/>
      <c r="J380" s="433"/>
      <c r="K380" s="353"/>
      <c r="L380" s="433"/>
    </row>
    <row r="381">
      <c r="A381" s="433"/>
      <c r="B381" s="456"/>
      <c r="C381" s="433"/>
      <c r="D381" s="433"/>
      <c r="E381" s="460"/>
      <c r="F381" s="351"/>
      <c r="G381" s="455"/>
      <c r="H381" s="351"/>
      <c r="I381" s="456"/>
      <c r="J381" s="433"/>
      <c r="K381" s="353"/>
      <c r="L381" s="433"/>
    </row>
    <row r="382">
      <c r="A382" s="433"/>
      <c r="B382" s="456"/>
      <c r="C382" s="433"/>
      <c r="D382" s="433"/>
      <c r="E382" s="460"/>
      <c r="F382" s="351"/>
      <c r="G382" s="455"/>
      <c r="H382" s="351"/>
      <c r="I382" s="456"/>
      <c r="J382" s="433"/>
      <c r="K382" s="353"/>
      <c r="L382" s="433"/>
    </row>
    <row r="383">
      <c r="A383" s="433"/>
      <c r="B383" s="456"/>
      <c r="C383" s="433"/>
      <c r="D383" s="433"/>
      <c r="E383" s="460"/>
      <c r="F383" s="351"/>
      <c r="G383" s="455"/>
      <c r="H383" s="351"/>
      <c r="I383" s="456"/>
      <c r="J383" s="433"/>
      <c r="K383" s="353"/>
      <c r="L383" s="433"/>
    </row>
    <row r="384">
      <c r="A384" s="433"/>
      <c r="B384" s="456"/>
      <c r="C384" s="433"/>
      <c r="D384" s="433"/>
      <c r="E384" s="460"/>
      <c r="F384" s="351"/>
      <c r="G384" s="455"/>
      <c r="H384" s="351"/>
      <c r="I384" s="456"/>
      <c r="J384" s="433"/>
      <c r="K384" s="353"/>
      <c r="L384" s="433"/>
    </row>
    <row r="385">
      <c r="A385" s="433"/>
      <c r="B385" s="456"/>
      <c r="C385" s="433"/>
      <c r="D385" s="433"/>
      <c r="E385" s="460"/>
      <c r="F385" s="351"/>
      <c r="G385" s="455"/>
      <c r="H385" s="351"/>
      <c r="I385" s="456"/>
      <c r="J385" s="433"/>
      <c r="K385" s="353"/>
      <c r="L385" s="433"/>
    </row>
    <row r="386">
      <c r="A386" s="433"/>
      <c r="B386" s="456"/>
      <c r="C386" s="433"/>
      <c r="D386" s="433"/>
      <c r="E386" s="460"/>
      <c r="F386" s="351"/>
      <c r="G386" s="455"/>
      <c r="H386" s="351"/>
      <c r="I386" s="456"/>
      <c r="J386" s="433"/>
      <c r="K386" s="353"/>
      <c r="L386" s="433"/>
    </row>
    <row r="387">
      <c r="A387" s="433"/>
      <c r="B387" s="456"/>
      <c r="C387" s="433"/>
      <c r="D387" s="433"/>
      <c r="E387" s="460"/>
      <c r="F387" s="351"/>
      <c r="G387" s="455"/>
      <c r="H387" s="351"/>
      <c r="I387" s="456"/>
      <c r="J387" s="433"/>
      <c r="K387" s="353"/>
      <c r="L387" s="433"/>
    </row>
    <row r="388">
      <c r="A388" s="433"/>
      <c r="B388" s="456"/>
      <c r="C388" s="433"/>
      <c r="D388" s="433"/>
      <c r="E388" s="460"/>
      <c r="F388" s="351"/>
      <c r="G388" s="455"/>
      <c r="H388" s="351"/>
      <c r="I388" s="456"/>
      <c r="J388" s="433"/>
      <c r="K388" s="353"/>
      <c r="L388" s="433"/>
    </row>
    <row r="389">
      <c r="A389" s="433"/>
      <c r="B389" s="456"/>
      <c r="C389" s="433"/>
      <c r="D389" s="433"/>
      <c r="E389" s="460"/>
      <c r="F389" s="351"/>
      <c r="G389" s="455"/>
      <c r="H389" s="351"/>
      <c r="I389" s="456"/>
      <c r="J389" s="433"/>
      <c r="K389" s="353"/>
      <c r="L389" s="433"/>
    </row>
    <row r="390">
      <c r="A390" s="433"/>
      <c r="B390" s="456"/>
      <c r="C390" s="433"/>
      <c r="D390" s="433"/>
      <c r="E390" s="460"/>
      <c r="F390" s="351"/>
      <c r="G390" s="455"/>
      <c r="H390" s="351"/>
      <c r="I390" s="456"/>
      <c r="J390" s="433"/>
      <c r="K390" s="353"/>
      <c r="L390" s="433"/>
    </row>
    <row r="391">
      <c r="A391" s="433"/>
      <c r="B391" s="456"/>
      <c r="C391" s="433"/>
      <c r="D391" s="433"/>
      <c r="E391" s="460"/>
      <c r="F391" s="351"/>
      <c r="G391" s="455"/>
      <c r="H391" s="351"/>
      <c r="I391" s="456"/>
      <c r="J391" s="433"/>
      <c r="K391" s="353"/>
      <c r="L391" s="433"/>
    </row>
    <row r="392">
      <c r="A392" s="433"/>
      <c r="B392" s="456"/>
      <c r="C392" s="433"/>
      <c r="D392" s="433"/>
      <c r="E392" s="460"/>
      <c r="F392" s="351"/>
      <c r="G392" s="455"/>
      <c r="H392" s="351"/>
      <c r="I392" s="456"/>
      <c r="J392" s="433"/>
      <c r="K392" s="353"/>
      <c r="L392" s="433"/>
    </row>
    <row r="393">
      <c r="A393" s="433"/>
      <c r="B393" s="456"/>
      <c r="C393" s="433"/>
      <c r="D393" s="433"/>
      <c r="E393" s="460"/>
      <c r="F393" s="351"/>
      <c r="G393" s="455"/>
      <c r="H393" s="351"/>
      <c r="I393" s="456"/>
      <c r="J393" s="433"/>
      <c r="K393" s="353"/>
      <c r="L393" s="433"/>
    </row>
    <row r="394">
      <c r="A394" s="433"/>
      <c r="B394" s="456"/>
      <c r="C394" s="433"/>
      <c r="D394" s="433"/>
      <c r="E394" s="460"/>
      <c r="F394" s="351"/>
      <c r="G394" s="455"/>
      <c r="H394" s="351"/>
      <c r="I394" s="456"/>
      <c r="J394" s="433"/>
      <c r="K394" s="353"/>
      <c r="L394" s="433"/>
    </row>
    <row r="395">
      <c r="A395" s="433"/>
      <c r="B395" s="456"/>
      <c r="C395" s="433"/>
      <c r="D395" s="433"/>
      <c r="E395" s="460"/>
      <c r="F395" s="351"/>
      <c r="G395" s="455"/>
      <c r="H395" s="351"/>
      <c r="I395" s="456"/>
      <c r="J395" s="433"/>
      <c r="K395" s="353"/>
      <c r="L395" s="433"/>
    </row>
    <row r="396">
      <c r="A396" s="433"/>
      <c r="B396" s="456"/>
      <c r="C396" s="433"/>
      <c r="D396" s="433"/>
      <c r="E396" s="460"/>
      <c r="F396" s="351"/>
      <c r="G396" s="455"/>
      <c r="H396" s="351"/>
      <c r="I396" s="456"/>
      <c r="J396" s="433"/>
      <c r="K396" s="353"/>
      <c r="L396" s="433"/>
    </row>
    <row r="397">
      <c r="A397" s="433"/>
      <c r="B397" s="456"/>
      <c r="C397" s="433"/>
      <c r="D397" s="433"/>
      <c r="E397" s="460"/>
      <c r="F397" s="351"/>
      <c r="G397" s="455"/>
      <c r="H397" s="351"/>
      <c r="I397" s="456"/>
      <c r="J397" s="433"/>
      <c r="K397" s="353"/>
      <c r="L397" s="433"/>
    </row>
    <row r="398">
      <c r="A398" s="433"/>
      <c r="B398" s="456"/>
      <c r="C398" s="433"/>
      <c r="D398" s="433"/>
      <c r="E398" s="460"/>
      <c r="F398" s="351"/>
      <c r="G398" s="455"/>
      <c r="H398" s="351"/>
      <c r="I398" s="456"/>
      <c r="J398" s="433"/>
      <c r="K398" s="353"/>
      <c r="L398" s="433"/>
    </row>
    <row r="399">
      <c r="A399" s="433"/>
      <c r="B399" s="456"/>
      <c r="C399" s="433"/>
      <c r="D399" s="433"/>
      <c r="E399" s="460"/>
      <c r="F399" s="351"/>
      <c r="G399" s="455"/>
      <c r="H399" s="351"/>
      <c r="I399" s="456"/>
      <c r="J399" s="433"/>
      <c r="K399" s="353"/>
      <c r="L399" s="433"/>
    </row>
    <row r="400">
      <c r="A400" s="433"/>
      <c r="B400" s="456"/>
      <c r="C400" s="433"/>
      <c r="D400" s="433"/>
      <c r="E400" s="460"/>
      <c r="F400" s="351"/>
      <c r="G400" s="455"/>
      <c r="H400" s="351"/>
      <c r="I400" s="456"/>
      <c r="J400" s="433"/>
      <c r="K400" s="353"/>
      <c r="L400" s="433"/>
    </row>
    <row r="401">
      <c r="A401" s="433"/>
      <c r="B401" s="456"/>
      <c r="C401" s="433"/>
      <c r="D401" s="433"/>
      <c r="E401" s="460"/>
      <c r="F401" s="351"/>
      <c r="G401" s="455"/>
      <c r="H401" s="351"/>
      <c r="I401" s="456"/>
      <c r="J401" s="433"/>
      <c r="K401" s="353"/>
      <c r="L401" s="433"/>
    </row>
    <row r="402">
      <c r="A402" s="433"/>
      <c r="B402" s="456"/>
      <c r="C402" s="433"/>
      <c r="D402" s="433"/>
      <c r="E402" s="460"/>
      <c r="F402" s="351"/>
      <c r="G402" s="455"/>
      <c r="H402" s="351"/>
      <c r="I402" s="456"/>
      <c r="J402" s="433"/>
      <c r="K402" s="353"/>
      <c r="L402" s="433"/>
    </row>
    <row r="403">
      <c r="A403" s="433"/>
      <c r="B403" s="456"/>
      <c r="C403" s="433"/>
      <c r="D403" s="433"/>
      <c r="E403" s="460"/>
      <c r="F403" s="351"/>
      <c r="G403" s="455"/>
      <c r="H403" s="351"/>
      <c r="I403" s="456"/>
      <c r="J403" s="433"/>
      <c r="K403" s="353"/>
      <c r="L403" s="433"/>
    </row>
    <row r="404">
      <c r="A404" s="433"/>
      <c r="B404" s="456"/>
      <c r="C404" s="433"/>
      <c r="D404" s="433"/>
      <c r="E404" s="460"/>
      <c r="F404" s="351"/>
      <c r="G404" s="455"/>
      <c r="H404" s="351"/>
      <c r="I404" s="456"/>
      <c r="J404" s="433"/>
      <c r="K404" s="353"/>
      <c r="L404" s="433"/>
    </row>
    <row r="405">
      <c r="A405" s="433"/>
      <c r="B405" s="456"/>
      <c r="C405" s="433"/>
      <c r="D405" s="433"/>
      <c r="E405" s="460"/>
      <c r="F405" s="351"/>
      <c r="G405" s="455"/>
      <c r="H405" s="351"/>
      <c r="I405" s="456"/>
      <c r="J405" s="433"/>
      <c r="K405" s="353"/>
      <c r="L405" s="433"/>
    </row>
    <row r="406">
      <c r="A406" s="433"/>
      <c r="B406" s="456"/>
      <c r="C406" s="433"/>
      <c r="D406" s="433"/>
      <c r="E406" s="460"/>
      <c r="F406" s="351"/>
      <c r="G406" s="455"/>
      <c r="H406" s="351"/>
      <c r="I406" s="456"/>
      <c r="J406" s="433"/>
      <c r="K406" s="353"/>
      <c r="L406" s="433"/>
    </row>
    <row r="407">
      <c r="A407" s="433"/>
      <c r="B407" s="456"/>
      <c r="C407" s="433"/>
      <c r="D407" s="433"/>
      <c r="E407" s="460"/>
      <c r="F407" s="351"/>
      <c r="G407" s="455"/>
      <c r="H407" s="351"/>
      <c r="I407" s="456"/>
      <c r="J407" s="433"/>
      <c r="K407" s="353"/>
      <c r="L407" s="433"/>
    </row>
    <row r="408">
      <c r="A408" s="433"/>
      <c r="B408" s="456"/>
      <c r="C408" s="433"/>
      <c r="D408" s="433"/>
      <c r="E408" s="460"/>
      <c r="F408" s="351"/>
      <c r="G408" s="455"/>
      <c r="H408" s="351"/>
      <c r="I408" s="456"/>
      <c r="J408" s="433"/>
      <c r="K408" s="353"/>
      <c r="L408" s="433"/>
    </row>
    <row r="409">
      <c r="A409" s="433"/>
      <c r="B409" s="456"/>
      <c r="C409" s="433"/>
      <c r="D409" s="433"/>
      <c r="E409" s="460"/>
      <c r="F409" s="351"/>
      <c r="G409" s="455"/>
      <c r="H409" s="351"/>
      <c r="I409" s="456"/>
      <c r="J409" s="433"/>
      <c r="K409" s="353"/>
      <c r="L409" s="433"/>
    </row>
    <row r="410">
      <c r="A410" s="433"/>
      <c r="B410" s="456"/>
      <c r="C410" s="433"/>
      <c r="D410" s="433"/>
      <c r="E410" s="460"/>
      <c r="F410" s="351"/>
      <c r="G410" s="455"/>
      <c r="H410" s="351"/>
      <c r="I410" s="456"/>
      <c r="J410" s="433"/>
      <c r="K410" s="353"/>
      <c r="L410" s="433"/>
    </row>
    <row r="411">
      <c r="A411" s="433"/>
      <c r="B411" s="456"/>
      <c r="C411" s="433"/>
      <c r="D411" s="433"/>
      <c r="E411" s="460"/>
      <c r="F411" s="351"/>
      <c r="G411" s="455"/>
      <c r="H411" s="351"/>
      <c r="I411" s="456"/>
      <c r="J411" s="433"/>
      <c r="K411" s="353"/>
      <c r="L411" s="433"/>
    </row>
    <row r="412">
      <c r="A412" s="433"/>
      <c r="B412" s="456"/>
      <c r="C412" s="433"/>
      <c r="D412" s="433"/>
      <c r="E412" s="460"/>
      <c r="F412" s="351"/>
      <c r="G412" s="455"/>
      <c r="H412" s="351"/>
      <c r="I412" s="456"/>
      <c r="J412" s="433"/>
      <c r="K412" s="353"/>
      <c r="L412" s="433"/>
    </row>
    <row r="413">
      <c r="A413" s="433"/>
      <c r="B413" s="456"/>
      <c r="C413" s="433"/>
      <c r="D413" s="433"/>
      <c r="E413" s="460"/>
      <c r="F413" s="351"/>
      <c r="G413" s="455"/>
      <c r="H413" s="351"/>
      <c r="I413" s="456"/>
      <c r="J413" s="433"/>
      <c r="K413" s="353"/>
      <c r="L413" s="433"/>
    </row>
    <row r="414">
      <c r="A414" s="433"/>
      <c r="B414" s="456"/>
      <c r="C414" s="433"/>
      <c r="D414" s="433"/>
      <c r="E414" s="460"/>
      <c r="F414" s="351"/>
      <c r="G414" s="455"/>
      <c r="H414" s="351"/>
      <c r="I414" s="456"/>
      <c r="J414" s="433"/>
      <c r="K414" s="353"/>
      <c r="L414" s="433"/>
    </row>
    <row r="415">
      <c r="A415" s="433"/>
      <c r="B415" s="456"/>
      <c r="C415" s="433"/>
      <c r="D415" s="433"/>
      <c r="E415" s="460"/>
      <c r="F415" s="351"/>
      <c r="G415" s="455"/>
      <c r="H415" s="351"/>
      <c r="I415" s="456"/>
      <c r="J415" s="433"/>
      <c r="K415" s="353"/>
      <c r="L415" s="433"/>
    </row>
    <row r="416">
      <c r="A416" s="433"/>
      <c r="B416" s="456"/>
      <c r="C416" s="433"/>
      <c r="D416" s="433"/>
      <c r="E416" s="460"/>
      <c r="F416" s="351"/>
      <c r="G416" s="455"/>
      <c r="H416" s="351"/>
      <c r="I416" s="456"/>
      <c r="J416" s="433"/>
      <c r="K416" s="353"/>
      <c r="L416" s="433"/>
    </row>
    <row r="417">
      <c r="A417" s="433"/>
      <c r="B417" s="456"/>
      <c r="C417" s="433"/>
      <c r="D417" s="433"/>
      <c r="E417" s="460"/>
      <c r="F417" s="351"/>
      <c r="G417" s="455"/>
      <c r="H417" s="351"/>
      <c r="I417" s="456"/>
      <c r="J417" s="433"/>
      <c r="K417" s="353"/>
      <c r="L417" s="433"/>
    </row>
    <row r="418">
      <c r="A418" s="433"/>
      <c r="B418" s="456"/>
      <c r="C418" s="433"/>
      <c r="D418" s="433"/>
      <c r="E418" s="460"/>
      <c r="F418" s="351"/>
      <c r="G418" s="455"/>
      <c r="H418" s="351"/>
      <c r="I418" s="456"/>
      <c r="J418" s="433"/>
      <c r="K418" s="353"/>
      <c r="L418" s="433"/>
    </row>
    <row r="419">
      <c r="A419" s="433"/>
      <c r="B419" s="456"/>
      <c r="C419" s="433"/>
      <c r="D419" s="433"/>
      <c r="E419" s="460"/>
      <c r="F419" s="351"/>
      <c r="G419" s="455"/>
      <c r="H419" s="351"/>
      <c r="I419" s="456"/>
      <c r="J419" s="433"/>
      <c r="K419" s="353"/>
      <c r="L419" s="433"/>
    </row>
    <row r="420">
      <c r="A420" s="433"/>
      <c r="B420" s="456"/>
      <c r="C420" s="433"/>
      <c r="D420" s="433"/>
      <c r="E420" s="460"/>
      <c r="F420" s="351"/>
      <c r="G420" s="455"/>
      <c r="H420" s="351"/>
      <c r="I420" s="456"/>
      <c r="J420" s="433"/>
      <c r="K420" s="353"/>
      <c r="L420" s="433"/>
    </row>
    <row r="421">
      <c r="A421" s="433"/>
      <c r="B421" s="456"/>
      <c r="C421" s="433"/>
      <c r="D421" s="433"/>
      <c r="E421" s="460"/>
      <c r="F421" s="351"/>
      <c r="G421" s="455"/>
      <c r="H421" s="351"/>
      <c r="I421" s="456"/>
      <c r="J421" s="433"/>
      <c r="K421" s="353"/>
      <c r="L421" s="433"/>
    </row>
    <row r="422">
      <c r="A422" s="433"/>
      <c r="B422" s="456"/>
      <c r="C422" s="433"/>
      <c r="D422" s="433"/>
      <c r="E422" s="460"/>
      <c r="F422" s="351"/>
      <c r="G422" s="455"/>
      <c r="H422" s="351"/>
      <c r="I422" s="456"/>
      <c r="J422" s="433"/>
      <c r="K422" s="353"/>
      <c r="L422" s="433"/>
    </row>
    <row r="423">
      <c r="A423" s="433"/>
      <c r="B423" s="456"/>
      <c r="C423" s="433"/>
      <c r="D423" s="433"/>
      <c r="E423" s="460"/>
      <c r="F423" s="351"/>
      <c r="G423" s="455"/>
      <c r="H423" s="351"/>
      <c r="I423" s="456"/>
      <c r="J423" s="433"/>
      <c r="K423" s="353"/>
      <c r="L423" s="433"/>
    </row>
    <row r="424">
      <c r="A424" s="433"/>
      <c r="B424" s="456"/>
      <c r="C424" s="433"/>
      <c r="D424" s="433"/>
      <c r="E424" s="460"/>
      <c r="F424" s="351"/>
      <c r="G424" s="455"/>
      <c r="H424" s="351"/>
      <c r="I424" s="456"/>
      <c r="J424" s="433"/>
      <c r="K424" s="353"/>
      <c r="L424" s="433"/>
    </row>
    <row r="425">
      <c r="A425" s="433"/>
      <c r="B425" s="456"/>
      <c r="C425" s="433"/>
      <c r="D425" s="433"/>
      <c r="E425" s="460"/>
      <c r="F425" s="351"/>
      <c r="G425" s="455"/>
      <c r="H425" s="351"/>
      <c r="I425" s="456"/>
      <c r="J425" s="433"/>
      <c r="K425" s="353"/>
      <c r="L425" s="433"/>
    </row>
    <row r="426">
      <c r="A426" s="433"/>
      <c r="B426" s="456"/>
      <c r="C426" s="433"/>
      <c r="D426" s="433"/>
      <c r="E426" s="460"/>
      <c r="F426" s="351"/>
      <c r="G426" s="455"/>
      <c r="H426" s="351"/>
      <c r="I426" s="456"/>
      <c r="J426" s="433"/>
      <c r="K426" s="353"/>
      <c r="L426" s="433"/>
    </row>
    <row r="427">
      <c r="A427" s="433"/>
      <c r="B427" s="456"/>
      <c r="C427" s="433"/>
      <c r="D427" s="433"/>
      <c r="E427" s="460"/>
      <c r="F427" s="351"/>
      <c r="G427" s="455"/>
      <c r="H427" s="351"/>
      <c r="I427" s="456"/>
      <c r="J427" s="433"/>
      <c r="K427" s="353"/>
      <c r="L427" s="433"/>
    </row>
    <row r="428">
      <c r="A428" s="433"/>
      <c r="B428" s="456"/>
      <c r="C428" s="433"/>
      <c r="D428" s="433"/>
      <c r="E428" s="460"/>
      <c r="F428" s="351"/>
      <c r="G428" s="455"/>
      <c r="H428" s="351"/>
      <c r="I428" s="456"/>
      <c r="J428" s="433"/>
      <c r="K428" s="353"/>
      <c r="L428" s="433"/>
    </row>
    <row r="429">
      <c r="A429" s="433"/>
      <c r="B429" s="456"/>
      <c r="C429" s="433"/>
      <c r="D429" s="433"/>
      <c r="E429" s="460"/>
      <c r="F429" s="351"/>
      <c r="G429" s="455"/>
      <c r="H429" s="351"/>
      <c r="I429" s="456"/>
      <c r="J429" s="433"/>
      <c r="K429" s="353"/>
      <c r="L429" s="433"/>
    </row>
    <row r="430">
      <c r="A430" s="433"/>
      <c r="B430" s="456"/>
      <c r="C430" s="433"/>
      <c r="D430" s="433"/>
      <c r="E430" s="460"/>
      <c r="F430" s="351"/>
      <c r="G430" s="455"/>
      <c r="H430" s="351"/>
      <c r="I430" s="456"/>
      <c r="J430" s="433"/>
      <c r="K430" s="353"/>
      <c r="L430" s="433"/>
    </row>
    <row r="431">
      <c r="A431" s="433"/>
      <c r="B431" s="456"/>
      <c r="C431" s="433"/>
      <c r="D431" s="433"/>
      <c r="E431" s="460"/>
      <c r="F431" s="351"/>
      <c r="G431" s="455"/>
      <c r="H431" s="351"/>
      <c r="I431" s="456"/>
      <c r="J431" s="433"/>
      <c r="K431" s="353"/>
      <c r="L431" s="433"/>
    </row>
    <row r="432">
      <c r="A432" s="433"/>
      <c r="B432" s="456"/>
      <c r="C432" s="433"/>
      <c r="D432" s="433"/>
      <c r="E432" s="460"/>
      <c r="F432" s="351"/>
      <c r="G432" s="455"/>
      <c r="H432" s="351"/>
      <c r="I432" s="456"/>
      <c r="J432" s="433"/>
      <c r="K432" s="353"/>
      <c r="L432" s="433"/>
    </row>
    <row r="433">
      <c r="A433" s="433"/>
      <c r="B433" s="456"/>
      <c r="C433" s="433"/>
      <c r="D433" s="433"/>
      <c r="E433" s="460"/>
      <c r="F433" s="351"/>
      <c r="G433" s="455"/>
      <c r="H433" s="351"/>
      <c r="I433" s="456"/>
      <c r="J433" s="433"/>
      <c r="K433" s="353"/>
      <c r="L433" s="433"/>
    </row>
    <row r="434">
      <c r="A434" s="433"/>
      <c r="B434" s="456"/>
      <c r="C434" s="433"/>
      <c r="D434" s="433"/>
      <c r="E434" s="460"/>
      <c r="F434" s="351"/>
      <c r="G434" s="455"/>
      <c r="H434" s="351"/>
      <c r="I434" s="456"/>
      <c r="J434" s="433"/>
      <c r="K434" s="353"/>
      <c r="L434" s="433"/>
    </row>
    <row r="435">
      <c r="A435" s="433"/>
      <c r="B435" s="456"/>
      <c r="C435" s="433"/>
      <c r="D435" s="433"/>
      <c r="E435" s="460"/>
      <c r="F435" s="351"/>
      <c r="G435" s="455"/>
      <c r="H435" s="351"/>
      <c r="I435" s="456"/>
      <c r="J435" s="433"/>
      <c r="K435" s="353"/>
      <c r="L435" s="433"/>
    </row>
    <row r="436">
      <c r="A436" s="433"/>
      <c r="B436" s="456"/>
      <c r="C436" s="433"/>
      <c r="D436" s="433"/>
      <c r="E436" s="460"/>
      <c r="F436" s="351"/>
      <c r="G436" s="455"/>
      <c r="H436" s="351"/>
      <c r="I436" s="456"/>
      <c r="J436" s="433"/>
      <c r="K436" s="353"/>
      <c r="L436" s="433"/>
    </row>
    <row r="437">
      <c r="A437" s="433"/>
      <c r="B437" s="456"/>
      <c r="C437" s="433"/>
      <c r="D437" s="433"/>
      <c r="E437" s="460"/>
      <c r="F437" s="351"/>
      <c r="G437" s="455"/>
      <c r="H437" s="351"/>
      <c r="I437" s="456"/>
      <c r="J437" s="433"/>
      <c r="K437" s="353"/>
      <c r="L437" s="433"/>
    </row>
    <row r="438">
      <c r="A438" s="433"/>
      <c r="B438" s="456"/>
      <c r="C438" s="433"/>
      <c r="D438" s="433"/>
      <c r="E438" s="460"/>
      <c r="F438" s="351"/>
      <c r="G438" s="455"/>
      <c r="H438" s="351"/>
      <c r="I438" s="456"/>
      <c r="J438" s="433"/>
      <c r="K438" s="353"/>
      <c r="L438" s="433"/>
    </row>
    <row r="439">
      <c r="A439" s="433"/>
      <c r="B439" s="456"/>
      <c r="C439" s="433"/>
      <c r="D439" s="433"/>
      <c r="E439" s="460"/>
      <c r="F439" s="351"/>
      <c r="G439" s="455"/>
      <c r="H439" s="351"/>
      <c r="I439" s="456"/>
      <c r="J439" s="433"/>
      <c r="K439" s="353"/>
      <c r="L439" s="433"/>
    </row>
    <row r="440">
      <c r="A440" s="433"/>
      <c r="B440" s="456"/>
      <c r="C440" s="433"/>
      <c r="D440" s="433"/>
      <c r="E440" s="460"/>
      <c r="F440" s="351"/>
      <c r="G440" s="455"/>
      <c r="H440" s="351"/>
      <c r="I440" s="456"/>
      <c r="J440" s="433"/>
      <c r="K440" s="353"/>
      <c r="L440" s="433"/>
    </row>
    <row r="441">
      <c r="A441" s="433"/>
      <c r="B441" s="456"/>
      <c r="C441" s="433"/>
      <c r="D441" s="433"/>
      <c r="E441" s="460"/>
      <c r="F441" s="351"/>
      <c r="G441" s="455"/>
      <c r="H441" s="351"/>
      <c r="I441" s="456"/>
      <c r="J441" s="433"/>
      <c r="K441" s="353"/>
      <c r="L441" s="433"/>
    </row>
    <row r="442">
      <c r="A442" s="433"/>
      <c r="B442" s="456"/>
      <c r="C442" s="433"/>
      <c r="D442" s="433"/>
      <c r="E442" s="460"/>
      <c r="F442" s="351"/>
      <c r="G442" s="455"/>
      <c r="H442" s="351"/>
      <c r="I442" s="456"/>
      <c r="J442" s="433"/>
      <c r="K442" s="353"/>
      <c r="L442" s="433"/>
    </row>
    <row r="443">
      <c r="A443" s="433"/>
      <c r="B443" s="456"/>
      <c r="C443" s="433"/>
      <c r="D443" s="433"/>
      <c r="E443" s="460"/>
      <c r="F443" s="351"/>
      <c r="G443" s="455"/>
      <c r="H443" s="351"/>
      <c r="I443" s="456"/>
      <c r="J443" s="433"/>
      <c r="K443" s="353"/>
      <c r="L443" s="433"/>
    </row>
    <row r="444">
      <c r="A444" s="433"/>
      <c r="B444" s="456"/>
      <c r="C444" s="433"/>
      <c r="D444" s="433"/>
      <c r="E444" s="460"/>
      <c r="F444" s="351"/>
      <c r="G444" s="455"/>
      <c r="H444" s="351"/>
      <c r="I444" s="456"/>
      <c r="J444" s="433"/>
      <c r="K444" s="353"/>
      <c r="L444" s="433"/>
    </row>
    <row r="445">
      <c r="A445" s="433"/>
      <c r="B445" s="456"/>
      <c r="C445" s="433"/>
      <c r="D445" s="433"/>
      <c r="E445" s="460"/>
      <c r="F445" s="351"/>
      <c r="G445" s="455"/>
      <c r="H445" s="351"/>
      <c r="I445" s="456"/>
      <c r="J445" s="433"/>
      <c r="K445" s="353"/>
      <c r="L445" s="433"/>
    </row>
    <row r="446">
      <c r="A446" s="433"/>
      <c r="B446" s="456"/>
      <c r="C446" s="433"/>
      <c r="D446" s="433"/>
      <c r="E446" s="460"/>
      <c r="F446" s="351"/>
      <c r="G446" s="455"/>
      <c r="H446" s="351"/>
      <c r="I446" s="456"/>
      <c r="J446" s="433"/>
      <c r="K446" s="353"/>
      <c r="L446" s="433"/>
    </row>
    <row r="447">
      <c r="A447" s="433"/>
      <c r="B447" s="456"/>
      <c r="C447" s="433"/>
      <c r="D447" s="433"/>
      <c r="E447" s="460"/>
      <c r="F447" s="351"/>
      <c r="G447" s="455"/>
      <c r="H447" s="351"/>
      <c r="I447" s="456"/>
      <c r="J447" s="433"/>
      <c r="K447" s="353"/>
      <c r="L447" s="433"/>
    </row>
    <row r="448">
      <c r="A448" s="433"/>
      <c r="B448" s="456"/>
      <c r="C448" s="433"/>
      <c r="D448" s="433"/>
      <c r="E448" s="460"/>
      <c r="F448" s="351"/>
      <c r="G448" s="455"/>
      <c r="H448" s="351"/>
      <c r="I448" s="456"/>
      <c r="J448" s="433"/>
      <c r="K448" s="353"/>
      <c r="L448" s="433"/>
    </row>
    <row r="449">
      <c r="A449" s="433"/>
      <c r="B449" s="456"/>
      <c r="C449" s="433"/>
      <c r="D449" s="433"/>
      <c r="E449" s="460"/>
      <c r="F449" s="351"/>
      <c r="G449" s="455"/>
      <c r="H449" s="351"/>
      <c r="I449" s="456"/>
      <c r="J449" s="433"/>
      <c r="K449" s="353"/>
      <c r="L449" s="433"/>
    </row>
    <row r="450">
      <c r="A450" s="433"/>
      <c r="B450" s="456"/>
      <c r="C450" s="433"/>
      <c r="D450" s="433"/>
      <c r="E450" s="460"/>
      <c r="F450" s="351"/>
      <c r="G450" s="455"/>
      <c r="H450" s="351"/>
      <c r="I450" s="456"/>
      <c r="J450" s="433"/>
      <c r="K450" s="353"/>
      <c r="L450" s="433"/>
    </row>
    <row r="451">
      <c r="A451" s="433"/>
      <c r="B451" s="456"/>
      <c r="C451" s="433"/>
      <c r="D451" s="433"/>
      <c r="E451" s="460"/>
      <c r="F451" s="351"/>
      <c r="G451" s="455"/>
      <c r="H451" s="351"/>
      <c r="I451" s="456"/>
      <c r="J451" s="433"/>
      <c r="K451" s="353"/>
      <c r="L451" s="433"/>
    </row>
    <row r="452">
      <c r="A452" s="433"/>
      <c r="B452" s="456"/>
      <c r="C452" s="433"/>
      <c r="D452" s="433"/>
      <c r="E452" s="460"/>
      <c r="F452" s="351"/>
      <c r="G452" s="455"/>
      <c r="H452" s="351"/>
      <c r="I452" s="456"/>
      <c r="J452" s="433"/>
      <c r="K452" s="353"/>
      <c r="L452" s="433"/>
    </row>
    <row r="453">
      <c r="A453" s="433"/>
      <c r="B453" s="456"/>
      <c r="C453" s="433"/>
      <c r="D453" s="433"/>
      <c r="E453" s="460"/>
      <c r="F453" s="351"/>
      <c r="G453" s="455"/>
      <c r="H453" s="351"/>
      <c r="I453" s="456"/>
      <c r="J453" s="433"/>
      <c r="K453" s="353"/>
      <c r="L453" s="433"/>
    </row>
    <row r="454">
      <c r="A454" s="433"/>
      <c r="B454" s="456"/>
      <c r="C454" s="433"/>
      <c r="D454" s="433"/>
      <c r="E454" s="460"/>
      <c r="F454" s="351"/>
      <c r="G454" s="455"/>
      <c r="H454" s="351"/>
      <c r="I454" s="456"/>
      <c r="J454" s="433"/>
      <c r="K454" s="353"/>
      <c r="L454" s="433"/>
    </row>
    <row r="455">
      <c r="A455" s="433"/>
      <c r="B455" s="456"/>
      <c r="C455" s="433"/>
      <c r="D455" s="433"/>
      <c r="E455" s="460"/>
      <c r="F455" s="351"/>
      <c r="G455" s="455"/>
      <c r="H455" s="351"/>
      <c r="I455" s="456"/>
      <c r="J455" s="433"/>
      <c r="K455" s="353"/>
      <c r="L455" s="433"/>
    </row>
    <row r="456">
      <c r="A456" s="433"/>
      <c r="B456" s="456"/>
      <c r="C456" s="433"/>
      <c r="D456" s="433"/>
      <c r="E456" s="460"/>
      <c r="F456" s="351"/>
      <c r="G456" s="455"/>
      <c r="H456" s="351"/>
      <c r="I456" s="456"/>
      <c r="J456" s="433"/>
      <c r="K456" s="353"/>
      <c r="L456" s="433"/>
    </row>
    <row r="457">
      <c r="A457" s="433"/>
      <c r="B457" s="456"/>
      <c r="C457" s="433"/>
      <c r="D457" s="433"/>
      <c r="E457" s="460"/>
      <c r="F457" s="351"/>
      <c r="G457" s="455"/>
      <c r="H457" s="351"/>
      <c r="I457" s="456"/>
      <c r="J457" s="433"/>
      <c r="K457" s="353"/>
      <c r="L457" s="433"/>
    </row>
    <row r="458">
      <c r="A458" s="433"/>
      <c r="B458" s="456"/>
      <c r="C458" s="433"/>
      <c r="D458" s="433"/>
      <c r="E458" s="460"/>
      <c r="F458" s="351"/>
      <c r="G458" s="455"/>
      <c r="H458" s="351"/>
      <c r="I458" s="456"/>
      <c r="J458" s="433"/>
      <c r="K458" s="353"/>
      <c r="L458" s="433"/>
    </row>
    <row r="459">
      <c r="A459" s="433"/>
      <c r="B459" s="456"/>
      <c r="C459" s="433"/>
      <c r="D459" s="433"/>
      <c r="E459" s="460"/>
      <c r="F459" s="351"/>
      <c r="G459" s="455"/>
      <c r="H459" s="351"/>
      <c r="I459" s="456"/>
      <c r="J459" s="433"/>
      <c r="K459" s="353"/>
      <c r="L459" s="433"/>
    </row>
    <row r="460">
      <c r="A460" s="433"/>
      <c r="B460" s="456"/>
      <c r="C460" s="433"/>
      <c r="D460" s="433"/>
      <c r="E460" s="460"/>
      <c r="F460" s="351"/>
      <c r="G460" s="455"/>
      <c r="H460" s="351"/>
      <c r="I460" s="456"/>
      <c r="J460" s="433"/>
      <c r="K460" s="353"/>
      <c r="L460" s="433"/>
    </row>
    <row r="461">
      <c r="A461" s="433"/>
      <c r="B461" s="456"/>
      <c r="C461" s="433"/>
      <c r="D461" s="433"/>
      <c r="E461" s="460"/>
      <c r="F461" s="351"/>
      <c r="G461" s="455"/>
      <c r="H461" s="351"/>
      <c r="I461" s="456"/>
      <c r="J461" s="433"/>
      <c r="K461" s="353"/>
      <c r="L461" s="433"/>
    </row>
    <row r="462">
      <c r="A462" s="433"/>
      <c r="B462" s="456"/>
      <c r="C462" s="433"/>
      <c r="D462" s="433"/>
      <c r="E462" s="460"/>
      <c r="F462" s="351"/>
      <c r="G462" s="455"/>
      <c r="H462" s="351"/>
      <c r="I462" s="456"/>
      <c r="J462" s="433"/>
      <c r="K462" s="353"/>
      <c r="L462" s="433"/>
    </row>
    <row r="463">
      <c r="A463" s="433"/>
      <c r="B463" s="456"/>
      <c r="C463" s="433"/>
      <c r="D463" s="433"/>
      <c r="E463" s="460"/>
      <c r="F463" s="351"/>
      <c r="G463" s="455"/>
      <c r="H463" s="351"/>
      <c r="I463" s="456"/>
      <c r="J463" s="433"/>
      <c r="K463" s="353"/>
      <c r="L463" s="433"/>
    </row>
    <row r="464">
      <c r="A464" s="433"/>
      <c r="B464" s="456"/>
      <c r="C464" s="433"/>
      <c r="D464" s="433"/>
      <c r="E464" s="460"/>
      <c r="F464" s="351"/>
      <c r="G464" s="455"/>
      <c r="H464" s="351"/>
      <c r="I464" s="456"/>
      <c r="J464" s="433"/>
      <c r="K464" s="353"/>
      <c r="L464" s="433"/>
    </row>
    <row r="465">
      <c r="A465" s="433"/>
      <c r="B465" s="456"/>
      <c r="C465" s="433"/>
      <c r="D465" s="433"/>
      <c r="E465" s="460"/>
      <c r="F465" s="351"/>
      <c r="G465" s="455"/>
      <c r="H465" s="351"/>
      <c r="I465" s="456"/>
      <c r="J465" s="433"/>
      <c r="K465" s="353"/>
      <c r="L465" s="433"/>
    </row>
    <row r="466">
      <c r="A466" s="433"/>
      <c r="B466" s="456"/>
      <c r="C466" s="433"/>
      <c r="D466" s="433"/>
      <c r="E466" s="460"/>
      <c r="F466" s="351"/>
      <c r="G466" s="455"/>
      <c r="H466" s="351"/>
      <c r="I466" s="456"/>
      <c r="J466" s="433"/>
      <c r="K466" s="353"/>
      <c r="L466" s="433"/>
    </row>
    <row r="467">
      <c r="A467" s="433"/>
      <c r="B467" s="456"/>
      <c r="C467" s="433"/>
      <c r="D467" s="433"/>
      <c r="E467" s="460"/>
      <c r="F467" s="351"/>
      <c r="G467" s="455"/>
      <c r="H467" s="351"/>
      <c r="I467" s="456"/>
      <c r="J467" s="433"/>
      <c r="K467" s="353"/>
      <c r="L467" s="433"/>
    </row>
    <row r="468">
      <c r="A468" s="433"/>
      <c r="B468" s="456"/>
      <c r="C468" s="433"/>
      <c r="D468" s="433"/>
      <c r="E468" s="460"/>
      <c r="F468" s="351"/>
      <c r="G468" s="455"/>
      <c r="H468" s="351"/>
      <c r="I468" s="456"/>
      <c r="J468" s="433"/>
      <c r="K468" s="353"/>
      <c r="L468" s="433"/>
    </row>
    <row r="469">
      <c r="A469" s="433"/>
      <c r="B469" s="456"/>
      <c r="C469" s="433"/>
      <c r="D469" s="433"/>
      <c r="E469" s="460"/>
      <c r="F469" s="351"/>
      <c r="G469" s="455"/>
      <c r="H469" s="351"/>
      <c r="I469" s="456"/>
      <c r="J469" s="433"/>
      <c r="K469" s="353"/>
      <c r="L469" s="433"/>
    </row>
    <row r="470">
      <c r="A470" s="433"/>
      <c r="B470" s="456"/>
      <c r="C470" s="433"/>
      <c r="D470" s="433"/>
      <c r="E470" s="460"/>
      <c r="F470" s="351"/>
      <c r="G470" s="455"/>
      <c r="H470" s="351"/>
      <c r="I470" s="456"/>
      <c r="J470" s="433"/>
      <c r="K470" s="353"/>
      <c r="L470" s="433"/>
    </row>
    <row r="471">
      <c r="A471" s="433"/>
      <c r="B471" s="456"/>
      <c r="C471" s="433"/>
      <c r="D471" s="433"/>
      <c r="E471" s="460"/>
      <c r="F471" s="351"/>
      <c r="G471" s="455"/>
      <c r="H471" s="351"/>
      <c r="I471" s="456"/>
      <c r="J471" s="433"/>
      <c r="K471" s="353"/>
      <c r="L471" s="433"/>
    </row>
    <row r="472">
      <c r="A472" s="433"/>
      <c r="B472" s="456"/>
      <c r="C472" s="433"/>
      <c r="D472" s="433"/>
      <c r="E472" s="460"/>
      <c r="F472" s="351"/>
      <c r="G472" s="455"/>
      <c r="H472" s="351"/>
      <c r="I472" s="456"/>
      <c r="J472" s="433"/>
      <c r="K472" s="353"/>
      <c r="L472" s="433"/>
    </row>
    <row r="473">
      <c r="A473" s="433"/>
      <c r="B473" s="456"/>
      <c r="C473" s="433"/>
      <c r="D473" s="433"/>
      <c r="E473" s="460"/>
      <c r="F473" s="351"/>
      <c r="G473" s="455"/>
      <c r="H473" s="351"/>
      <c r="I473" s="456"/>
      <c r="J473" s="433"/>
      <c r="K473" s="353"/>
      <c r="L473" s="433"/>
    </row>
    <row r="474">
      <c r="A474" s="433"/>
      <c r="B474" s="456"/>
      <c r="C474" s="433"/>
      <c r="D474" s="433"/>
      <c r="E474" s="460"/>
      <c r="F474" s="351"/>
      <c r="G474" s="455"/>
      <c r="H474" s="351"/>
      <c r="I474" s="456"/>
      <c r="J474" s="433"/>
      <c r="K474" s="353"/>
      <c r="L474" s="433"/>
    </row>
    <row r="475">
      <c r="A475" s="433"/>
      <c r="B475" s="456"/>
      <c r="C475" s="433"/>
      <c r="D475" s="433"/>
      <c r="E475" s="460"/>
      <c r="F475" s="351"/>
      <c r="G475" s="455"/>
      <c r="H475" s="351"/>
      <c r="I475" s="456"/>
      <c r="J475" s="433"/>
      <c r="K475" s="353"/>
      <c r="L475" s="433"/>
    </row>
    <row r="476">
      <c r="A476" s="433"/>
      <c r="B476" s="456"/>
      <c r="C476" s="433"/>
      <c r="D476" s="433"/>
      <c r="E476" s="460"/>
      <c r="F476" s="351"/>
      <c r="G476" s="455"/>
      <c r="H476" s="351"/>
      <c r="I476" s="456"/>
      <c r="J476" s="433"/>
      <c r="K476" s="353"/>
      <c r="L476" s="433"/>
    </row>
    <row r="477">
      <c r="A477" s="433"/>
      <c r="B477" s="456"/>
      <c r="C477" s="433"/>
      <c r="D477" s="433"/>
      <c r="E477" s="460"/>
      <c r="F477" s="351"/>
      <c r="G477" s="455"/>
      <c r="H477" s="351"/>
      <c r="I477" s="456"/>
      <c r="J477" s="433"/>
      <c r="K477" s="353"/>
      <c r="L477" s="433"/>
    </row>
    <row r="478">
      <c r="A478" s="433"/>
      <c r="B478" s="456"/>
      <c r="C478" s="433"/>
      <c r="D478" s="433"/>
      <c r="E478" s="460"/>
      <c r="F478" s="351"/>
      <c r="G478" s="455"/>
      <c r="H478" s="351"/>
      <c r="I478" s="456"/>
      <c r="J478" s="433"/>
      <c r="K478" s="353"/>
      <c r="L478" s="433"/>
    </row>
    <row r="479">
      <c r="A479" s="433"/>
      <c r="B479" s="456"/>
      <c r="C479" s="433"/>
      <c r="D479" s="433"/>
      <c r="E479" s="460"/>
      <c r="F479" s="351"/>
      <c r="G479" s="455"/>
      <c r="H479" s="351"/>
      <c r="I479" s="456"/>
      <c r="J479" s="433"/>
      <c r="K479" s="353"/>
      <c r="L479" s="433"/>
    </row>
    <row r="480">
      <c r="A480" s="433"/>
      <c r="B480" s="456"/>
      <c r="C480" s="433"/>
      <c r="D480" s="433"/>
      <c r="E480" s="460"/>
      <c r="F480" s="351"/>
      <c r="G480" s="455"/>
      <c r="H480" s="351"/>
      <c r="I480" s="456"/>
      <c r="J480" s="433"/>
      <c r="K480" s="353"/>
      <c r="L480" s="433"/>
    </row>
    <row r="481">
      <c r="A481" s="433"/>
      <c r="B481" s="456"/>
      <c r="C481" s="433"/>
      <c r="D481" s="433"/>
      <c r="E481" s="460"/>
      <c r="F481" s="351"/>
      <c r="G481" s="455"/>
      <c r="H481" s="351"/>
      <c r="I481" s="456"/>
      <c r="J481" s="433"/>
      <c r="K481" s="353"/>
      <c r="L481" s="433"/>
    </row>
    <row r="482">
      <c r="A482" s="433"/>
      <c r="B482" s="456"/>
      <c r="C482" s="433"/>
      <c r="D482" s="433"/>
      <c r="E482" s="460"/>
      <c r="F482" s="351"/>
      <c r="G482" s="455"/>
      <c r="H482" s="351"/>
      <c r="I482" s="456"/>
      <c r="J482" s="433"/>
      <c r="K482" s="353"/>
      <c r="L482" s="433"/>
    </row>
    <row r="483">
      <c r="A483" s="433"/>
      <c r="B483" s="456"/>
      <c r="C483" s="433"/>
      <c r="D483" s="433"/>
      <c r="E483" s="460"/>
      <c r="F483" s="351"/>
      <c r="G483" s="455"/>
      <c r="H483" s="351"/>
      <c r="I483" s="456"/>
      <c r="J483" s="433"/>
      <c r="K483" s="353"/>
      <c r="L483" s="433"/>
    </row>
    <row r="484">
      <c r="A484" s="433"/>
      <c r="B484" s="456"/>
      <c r="C484" s="433"/>
      <c r="D484" s="433"/>
      <c r="E484" s="460"/>
      <c r="F484" s="351"/>
      <c r="G484" s="455"/>
      <c r="H484" s="351"/>
      <c r="I484" s="456"/>
      <c r="J484" s="433"/>
      <c r="K484" s="353"/>
      <c r="L484" s="433"/>
    </row>
    <row r="485">
      <c r="A485" s="433"/>
      <c r="B485" s="456"/>
      <c r="C485" s="433"/>
      <c r="D485" s="433"/>
      <c r="E485" s="460"/>
      <c r="F485" s="351"/>
      <c r="G485" s="455"/>
      <c r="H485" s="351"/>
      <c r="I485" s="456"/>
      <c r="J485" s="433"/>
      <c r="K485" s="353"/>
      <c r="L485" s="433"/>
    </row>
    <row r="486">
      <c r="A486" s="433"/>
      <c r="B486" s="456"/>
      <c r="C486" s="433"/>
      <c r="D486" s="433"/>
      <c r="E486" s="460"/>
      <c r="F486" s="351"/>
      <c r="G486" s="455"/>
      <c r="H486" s="351"/>
      <c r="I486" s="456"/>
      <c r="J486" s="433"/>
      <c r="K486" s="353"/>
      <c r="L486" s="433"/>
    </row>
    <row r="487">
      <c r="A487" s="433"/>
      <c r="B487" s="456"/>
      <c r="C487" s="433"/>
      <c r="D487" s="433"/>
      <c r="E487" s="460"/>
      <c r="F487" s="351"/>
      <c r="G487" s="455"/>
      <c r="H487" s="351"/>
      <c r="I487" s="456"/>
      <c r="J487" s="433"/>
      <c r="K487" s="353"/>
      <c r="L487" s="433"/>
    </row>
    <row r="488">
      <c r="A488" s="433"/>
      <c r="B488" s="456"/>
      <c r="C488" s="433"/>
      <c r="D488" s="433"/>
      <c r="E488" s="460"/>
      <c r="F488" s="351"/>
      <c r="G488" s="455"/>
      <c r="H488" s="351"/>
      <c r="I488" s="456"/>
      <c r="J488" s="433"/>
      <c r="K488" s="353"/>
      <c r="L488" s="433"/>
    </row>
    <row r="489">
      <c r="A489" s="433"/>
      <c r="B489" s="456"/>
      <c r="C489" s="433"/>
      <c r="D489" s="433"/>
      <c r="E489" s="460"/>
      <c r="F489" s="351"/>
      <c r="G489" s="455"/>
      <c r="H489" s="351"/>
      <c r="I489" s="456"/>
      <c r="J489" s="433"/>
      <c r="K489" s="353"/>
      <c r="L489" s="433"/>
    </row>
    <row r="490">
      <c r="A490" s="433"/>
      <c r="B490" s="456"/>
      <c r="C490" s="433"/>
      <c r="D490" s="433"/>
      <c r="E490" s="460"/>
      <c r="F490" s="351"/>
      <c r="G490" s="455"/>
      <c r="H490" s="351"/>
      <c r="I490" s="456"/>
      <c r="J490" s="433"/>
      <c r="K490" s="353"/>
      <c r="L490" s="433"/>
    </row>
    <row r="491">
      <c r="A491" s="433"/>
      <c r="B491" s="456"/>
      <c r="C491" s="433"/>
      <c r="D491" s="433"/>
      <c r="E491" s="460"/>
      <c r="F491" s="351"/>
      <c r="G491" s="455"/>
      <c r="H491" s="351"/>
      <c r="I491" s="456"/>
      <c r="J491" s="433"/>
      <c r="K491" s="353"/>
      <c r="L491" s="433"/>
    </row>
    <row r="492">
      <c r="A492" s="433"/>
      <c r="B492" s="456"/>
      <c r="C492" s="433"/>
      <c r="D492" s="433"/>
      <c r="E492" s="460"/>
      <c r="F492" s="351"/>
      <c r="G492" s="455"/>
      <c r="H492" s="351"/>
      <c r="I492" s="456"/>
      <c r="J492" s="433"/>
      <c r="K492" s="353"/>
      <c r="L492" s="433"/>
    </row>
    <row r="493">
      <c r="A493" s="433"/>
      <c r="B493" s="456"/>
      <c r="C493" s="433"/>
      <c r="D493" s="433"/>
      <c r="E493" s="460"/>
      <c r="F493" s="351"/>
      <c r="G493" s="455"/>
      <c r="H493" s="351"/>
      <c r="I493" s="456"/>
      <c r="J493" s="433"/>
      <c r="K493" s="353"/>
      <c r="L493" s="433"/>
    </row>
    <row r="494">
      <c r="A494" s="433"/>
      <c r="B494" s="456"/>
      <c r="C494" s="433"/>
      <c r="D494" s="433"/>
      <c r="E494" s="460"/>
      <c r="F494" s="351"/>
      <c r="G494" s="455"/>
      <c r="H494" s="351"/>
      <c r="I494" s="456"/>
      <c r="J494" s="433"/>
      <c r="K494" s="353"/>
      <c r="L494" s="433"/>
    </row>
    <row r="495">
      <c r="A495" s="433"/>
      <c r="B495" s="456"/>
      <c r="C495" s="433"/>
      <c r="D495" s="433"/>
      <c r="E495" s="460"/>
      <c r="F495" s="351"/>
      <c r="G495" s="455"/>
      <c r="H495" s="351"/>
      <c r="I495" s="456"/>
      <c r="J495" s="433"/>
      <c r="K495" s="353"/>
      <c r="L495" s="433"/>
    </row>
    <row r="496">
      <c r="A496" s="433"/>
      <c r="B496" s="456"/>
      <c r="C496" s="433"/>
      <c r="D496" s="433"/>
      <c r="E496" s="460"/>
      <c r="F496" s="351"/>
      <c r="G496" s="455"/>
      <c r="H496" s="351"/>
      <c r="I496" s="456"/>
      <c r="J496" s="433"/>
      <c r="K496" s="353"/>
      <c r="L496" s="433"/>
    </row>
    <row r="497">
      <c r="A497" s="433"/>
      <c r="B497" s="456"/>
      <c r="C497" s="433"/>
      <c r="D497" s="433"/>
      <c r="E497" s="460"/>
      <c r="F497" s="351"/>
      <c r="G497" s="455"/>
      <c r="H497" s="351"/>
      <c r="I497" s="456"/>
      <c r="J497" s="433"/>
      <c r="K497" s="353"/>
      <c r="L497" s="433"/>
    </row>
    <row r="498">
      <c r="A498" s="433"/>
      <c r="B498" s="456"/>
      <c r="C498" s="433"/>
      <c r="D498" s="433"/>
      <c r="E498" s="460"/>
      <c r="F498" s="351"/>
      <c r="G498" s="455"/>
      <c r="H498" s="351"/>
      <c r="I498" s="456"/>
      <c r="J498" s="433"/>
      <c r="K498" s="353"/>
      <c r="L498" s="433"/>
    </row>
    <row r="499">
      <c r="A499" s="433"/>
      <c r="B499" s="456"/>
      <c r="C499" s="433"/>
      <c r="D499" s="433"/>
      <c r="E499" s="460"/>
      <c r="F499" s="351"/>
      <c r="G499" s="455"/>
      <c r="H499" s="351"/>
      <c r="I499" s="456"/>
      <c r="J499" s="433"/>
      <c r="K499" s="353"/>
      <c r="L499" s="433"/>
    </row>
    <row r="500">
      <c r="A500" s="433"/>
      <c r="B500" s="456"/>
      <c r="C500" s="433"/>
      <c r="D500" s="433"/>
      <c r="E500" s="460"/>
      <c r="F500" s="351"/>
      <c r="G500" s="455"/>
      <c r="H500" s="351"/>
      <c r="I500" s="456"/>
      <c r="J500" s="433"/>
      <c r="K500" s="353"/>
      <c r="L500" s="433"/>
    </row>
    <row r="501">
      <c r="A501" s="433"/>
      <c r="B501" s="456"/>
      <c r="C501" s="433"/>
      <c r="D501" s="433"/>
      <c r="E501" s="460"/>
      <c r="F501" s="351"/>
      <c r="G501" s="455"/>
      <c r="H501" s="351"/>
      <c r="I501" s="456"/>
      <c r="J501" s="433"/>
      <c r="K501" s="353"/>
      <c r="L501" s="433"/>
    </row>
    <row r="502">
      <c r="A502" s="433"/>
      <c r="B502" s="456"/>
      <c r="C502" s="433"/>
      <c r="D502" s="433"/>
      <c r="E502" s="460"/>
      <c r="F502" s="351"/>
      <c r="G502" s="455"/>
      <c r="H502" s="351"/>
      <c r="I502" s="456"/>
      <c r="J502" s="433"/>
      <c r="K502" s="353"/>
      <c r="L502" s="433"/>
    </row>
    <row r="503">
      <c r="A503" s="433"/>
      <c r="B503" s="456"/>
      <c r="C503" s="433"/>
      <c r="D503" s="433"/>
      <c r="E503" s="460"/>
      <c r="F503" s="351"/>
      <c r="G503" s="455"/>
      <c r="H503" s="351"/>
      <c r="I503" s="456"/>
      <c r="J503" s="433"/>
      <c r="K503" s="353"/>
      <c r="L503" s="433"/>
    </row>
    <row r="504">
      <c r="A504" s="433"/>
      <c r="B504" s="456"/>
      <c r="C504" s="433"/>
      <c r="D504" s="433"/>
      <c r="E504" s="460"/>
      <c r="F504" s="351"/>
      <c r="G504" s="455"/>
      <c r="H504" s="351"/>
      <c r="I504" s="456"/>
      <c r="J504" s="433"/>
      <c r="K504" s="353"/>
      <c r="L504" s="433"/>
    </row>
    <row r="505">
      <c r="A505" s="433"/>
      <c r="B505" s="456"/>
      <c r="C505" s="433"/>
      <c r="D505" s="433"/>
      <c r="E505" s="460"/>
      <c r="F505" s="351"/>
      <c r="G505" s="455"/>
      <c r="H505" s="351"/>
      <c r="I505" s="456"/>
      <c r="J505" s="433"/>
      <c r="K505" s="353"/>
      <c r="L505" s="433"/>
    </row>
    <row r="506">
      <c r="A506" s="433"/>
      <c r="B506" s="456"/>
      <c r="C506" s="433"/>
      <c r="D506" s="433"/>
      <c r="E506" s="460"/>
      <c r="F506" s="351"/>
      <c r="G506" s="455"/>
      <c r="H506" s="351"/>
      <c r="I506" s="456"/>
      <c r="J506" s="433"/>
      <c r="K506" s="353"/>
      <c r="L506" s="433"/>
    </row>
    <row r="507">
      <c r="A507" s="433"/>
      <c r="B507" s="456"/>
      <c r="C507" s="433"/>
      <c r="D507" s="433"/>
      <c r="E507" s="460"/>
      <c r="F507" s="351"/>
      <c r="G507" s="455"/>
      <c r="H507" s="351"/>
      <c r="I507" s="456"/>
      <c r="J507" s="433"/>
      <c r="K507" s="353"/>
      <c r="L507" s="433"/>
    </row>
    <row r="508">
      <c r="A508" s="433"/>
      <c r="B508" s="456"/>
      <c r="C508" s="433"/>
      <c r="D508" s="433"/>
      <c r="E508" s="460"/>
      <c r="F508" s="351"/>
      <c r="G508" s="455"/>
      <c r="H508" s="351"/>
      <c r="I508" s="456"/>
      <c r="J508" s="433"/>
      <c r="K508" s="353"/>
      <c r="L508" s="433"/>
    </row>
    <row r="509">
      <c r="A509" s="433"/>
      <c r="B509" s="456"/>
      <c r="C509" s="433"/>
      <c r="D509" s="433"/>
      <c r="E509" s="460"/>
      <c r="F509" s="351"/>
      <c r="G509" s="455"/>
      <c r="H509" s="351"/>
      <c r="I509" s="456"/>
      <c r="J509" s="433"/>
      <c r="K509" s="353"/>
      <c r="L509" s="433"/>
    </row>
    <row r="510">
      <c r="A510" s="433"/>
      <c r="B510" s="456"/>
      <c r="C510" s="433"/>
      <c r="D510" s="433"/>
      <c r="E510" s="460"/>
      <c r="F510" s="351"/>
      <c r="G510" s="455"/>
      <c r="H510" s="351"/>
      <c r="I510" s="456"/>
      <c r="J510" s="433"/>
      <c r="K510" s="353"/>
      <c r="L510" s="433"/>
    </row>
    <row r="511">
      <c r="A511" s="433"/>
      <c r="B511" s="456"/>
      <c r="C511" s="433"/>
      <c r="D511" s="433"/>
      <c r="E511" s="460"/>
      <c r="F511" s="351"/>
      <c r="G511" s="455"/>
      <c r="H511" s="351"/>
      <c r="I511" s="456"/>
      <c r="J511" s="433"/>
      <c r="K511" s="353"/>
      <c r="L511" s="433"/>
    </row>
    <row r="512">
      <c r="A512" s="433"/>
      <c r="B512" s="456"/>
      <c r="C512" s="433"/>
      <c r="D512" s="433"/>
      <c r="E512" s="460"/>
      <c r="F512" s="351"/>
      <c r="G512" s="455"/>
      <c r="H512" s="351"/>
      <c r="I512" s="456"/>
      <c r="J512" s="433"/>
      <c r="K512" s="353"/>
      <c r="L512" s="433"/>
    </row>
    <row r="513">
      <c r="A513" s="433"/>
      <c r="B513" s="456"/>
      <c r="C513" s="433"/>
      <c r="D513" s="433"/>
      <c r="E513" s="460"/>
      <c r="F513" s="351"/>
      <c r="G513" s="455"/>
      <c r="H513" s="351"/>
      <c r="I513" s="456"/>
      <c r="J513" s="433"/>
      <c r="K513" s="353"/>
      <c r="L513" s="433"/>
    </row>
    <row r="514">
      <c r="A514" s="433"/>
      <c r="B514" s="456"/>
      <c r="C514" s="433"/>
      <c r="D514" s="433"/>
      <c r="E514" s="460"/>
      <c r="F514" s="351"/>
      <c r="G514" s="455"/>
      <c r="H514" s="351"/>
      <c r="I514" s="456"/>
      <c r="J514" s="433"/>
      <c r="K514" s="353"/>
      <c r="L514" s="433"/>
    </row>
    <row r="515">
      <c r="A515" s="433"/>
      <c r="B515" s="456"/>
      <c r="C515" s="433"/>
      <c r="D515" s="433"/>
      <c r="E515" s="460"/>
      <c r="F515" s="351"/>
      <c r="G515" s="455"/>
      <c r="H515" s="351"/>
      <c r="I515" s="456"/>
      <c r="J515" s="433"/>
      <c r="K515" s="353"/>
      <c r="L515" s="433"/>
    </row>
    <row r="516">
      <c r="A516" s="433"/>
      <c r="B516" s="456"/>
      <c r="C516" s="433"/>
      <c r="D516" s="433"/>
      <c r="E516" s="460"/>
      <c r="F516" s="351"/>
      <c r="G516" s="455"/>
      <c r="H516" s="351"/>
      <c r="I516" s="456"/>
      <c r="J516" s="433"/>
      <c r="K516" s="353"/>
      <c r="L516" s="433"/>
    </row>
    <row r="517">
      <c r="A517" s="433"/>
      <c r="B517" s="456"/>
      <c r="C517" s="433"/>
      <c r="D517" s="433"/>
      <c r="E517" s="460"/>
      <c r="F517" s="351"/>
      <c r="G517" s="455"/>
      <c r="H517" s="351"/>
      <c r="I517" s="456"/>
      <c r="J517" s="433"/>
      <c r="K517" s="353"/>
      <c r="L517" s="433"/>
    </row>
    <row r="518">
      <c r="A518" s="433"/>
      <c r="B518" s="456"/>
      <c r="C518" s="433"/>
      <c r="D518" s="433"/>
      <c r="E518" s="460"/>
      <c r="F518" s="351"/>
      <c r="G518" s="455"/>
      <c r="H518" s="351"/>
      <c r="I518" s="456"/>
      <c r="J518" s="433"/>
      <c r="K518" s="353"/>
      <c r="L518" s="433"/>
    </row>
    <row r="519">
      <c r="A519" s="433"/>
      <c r="B519" s="456"/>
      <c r="C519" s="433"/>
      <c r="D519" s="433"/>
      <c r="E519" s="460"/>
      <c r="F519" s="351"/>
      <c r="G519" s="455"/>
      <c r="H519" s="351"/>
      <c r="I519" s="456"/>
      <c r="J519" s="433"/>
      <c r="K519" s="353"/>
      <c r="L519" s="433"/>
    </row>
    <row r="520">
      <c r="A520" s="433"/>
      <c r="B520" s="456"/>
      <c r="C520" s="433"/>
      <c r="D520" s="433"/>
      <c r="E520" s="460"/>
      <c r="F520" s="351"/>
      <c r="G520" s="455"/>
      <c r="H520" s="351"/>
      <c r="I520" s="456"/>
      <c r="J520" s="433"/>
      <c r="K520" s="353"/>
      <c r="L520" s="433"/>
    </row>
    <row r="521">
      <c r="A521" s="433"/>
      <c r="B521" s="456"/>
      <c r="C521" s="433"/>
      <c r="D521" s="433"/>
      <c r="E521" s="460"/>
      <c r="F521" s="351"/>
      <c r="G521" s="455"/>
      <c r="H521" s="351"/>
      <c r="I521" s="456"/>
      <c r="J521" s="433"/>
      <c r="K521" s="353"/>
      <c r="L521" s="433"/>
    </row>
    <row r="522">
      <c r="A522" s="433"/>
      <c r="B522" s="456"/>
      <c r="C522" s="433"/>
      <c r="D522" s="433"/>
      <c r="E522" s="460"/>
      <c r="F522" s="351"/>
      <c r="G522" s="455"/>
      <c r="H522" s="351"/>
      <c r="I522" s="456"/>
      <c r="J522" s="433"/>
      <c r="K522" s="353"/>
      <c r="L522" s="433"/>
    </row>
    <row r="523">
      <c r="A523" s="433"/>
      <c r="B523" s="456"/>
      <c r="C523" s="433"/>
      <c r="D523" s="433"/>
      <c r="E523" s="460"/>
      <c r="F523" s="351"/>
      <c r="G523" s="455"/>
      <c r="H523" s="351"/>
      <c r="I523" s="456"/>
      <c r="J523" s="433"/>
      <c r="K523" s="353"/>
      <c r="L523" s="433"/>
    </row>
    <row r="524">
      <c r="A524" s="433"/>
      <c r="B524" s="456"/>
      <c r="C524" s="433"/>
      <c r="D524" s="433"/>
      <c r="E524" s="460"/>
      <c r="F524" s="351"/>
      <c r="G524" s="455"/>
      <c r="H524" s="351"/>
      <c r="I524" s="456"/>
      <c r="J524" s="433"/>
      <c r="K524" s="353"/>
      <c r="L524" s="433"/>
    </row>
    <row r="525">
      <c r="A525" s="433"/>
      <c r="B525" s="456"/>
      <c r="C525" s="433"/>
      <c r="D525" s="433"/>
      <c r="E525" s="460"/>
      <c r="F525" s="351"/>
      <c r="G525" s="455"/>
      <c r="H525" s="351"/>
      <c r="I525" s="456"/>
      <c r="J525" s="433"/>
      <c r="K525" s="353"/>
      <c r="L525" s="433"/>
    </row>
    <row r="526">
      <c r="A526" s="433"/>
      <c r="B526" s="456"/>
      <c r="C526" s="433"/>
      <c r="D526" s="433"/>
      <c r="E526" s="460"/>
      <c r="F526" s="351"/>
      <c r="G526" s="455"/>
      <c r="H526" s="351"/>
      <c r="I526" s="456"/>
      <c r="J526" s="433"/>
      <c r="K526" s="353"/>
      <c r="L526" s="433"/>
    </row>
    <row r="527">
      <c r="A527" s="433"/>
      <c r="B527" s="456"/>
      <c r="C527" s="433"/>
      <c r="D527" s="433"/>
      <c r="E527" s="460"/>
      <c r="F527" s="351"/>
      <c r="G527" s="455"/>
      <c r="H527" s="351"/>
      <c r="I527" s="456"/>
      <c r="J527" s="433"/>
      <c r="K527" s="353"/>
      <c r="L527" s="433"/>
    </row>
    <row r="528">
      <c r="A528" s="433"/>
      <c r="B528" s="456"/>
      <c r="C528" s="433"/>
      <c r="D528" s="433"/>
      <c r="E528" s="460"/>
      <c r="F528" s="351"/>
      <c r="G528" s="455"/>
      <c r="H528" s="351"/>
      <c r="I528" s="456"/>
      <c r="J528" s="433"/>
      <c r="K528" s="353"/>
      <c r="L528" s="433"/>
    </row>
    <row r="529">
      <c r="A529" s="433"/>
      <c r="B529" s="456"/>
      <c r="C529" s="433"/>
      <c r="D529" s="433"/>
      <c r="E529" s="460"/>
      <c r="F529" s="351"/>
      <c r="G529" s="455"/>
      <c r="H529" s="351"/>
      <c r="I529" s="456"/>
      <c r="J529" s="433"/>
      <c r="K529" s="353"/>
      <c r="L529" s="433"/>
    </row>
    <row r="530">
      <c r="A530" s="433"/>
      <c r="B530" s="456"/>
      <c r="C530" s="433"/>
      <c r="D530" s="433"/>
      <c r="E530" s="460"/>
      <c r="F530" s="351"/>
      <c r="G530" s="455"/>
      <c r="H530" s="351"/>
      <c r="I530" s="456"/>
      <c r="J530" s="433"/>
      <c r="K530" s="353"/>
      <c r="L530" s="433"/>
    </row>
    <row r="531">
      <c r="A531" s="433"/>
      <c r="B531" s="456"/>
      <c r="C531" s="433"/>
      <c r="D531" s="433"/>
      <c r="E531" s="460"/>
      <c r="F531" s="351"/>
      <c r="G531" s="455"/>
      <c r="H531" s="351"/>
      <c r="I531" s="456"/>
      <c r="J531" s="433"/>
      <c r="K531" s="353"/>
      <c r="L531" s="433"/>
    </row>
    <row r="532">
      <c r="A532" s="433"/>
      <c r="B532" s="456"/>
      <c r="C532" s="433"/>
      <c r="D532" s="433"/>
      <c r="E532" s="460"/>
      <c r="F532" s="351"/>
      <c r="G532" s="455"/>
      <c r="H532" s="351"/>
      <c r="I532" s="456"/>
      <c r="J532" s="433"/>
      <c r="K532" s="353"/>
      <c r="L532" s="433"/>
    </row>
    <row r="533">
      <c r="A533" s="433"/>
      <c r="B533" s="456"/>
      <c r="C533" s="433"/>
      <c r="D533" s="433"/>
      <c r="E533" s="460"/>
      <c r="F533" s="351"/>
      <c r="G533" s="455"/>
      <c r="H533" s="351"/>
      <c r="I533" s="456"/>
      <c r="J533" s="433"/>
      <c r="K533" s="353"/>
      <c r="L533" s="433"/>
    </row>
    <row r="534">
      <c r="A534" s="433"/>
      <c r="B534" s="456"/>
      <c r="C534" s="433"/>
      <c r="D534" s="433"/>
      <c r="E534" s="460"/>
      <c r="F534" s="351"/>
      <c r="G534" s="455"/>
      <c r="H534" s="351"/>
      <c r="I534" s="456"/>
      <c r="J534" s="433"/>
      <c r="K534" s="353"/>
      <c r="L534" s="433"/>
    </row>
    <row r="535">
      <c r="A535" s="433"/>
      <c r="B535" s="456"/>
      <c r="C535" s="433"/>
      <c r="D535" s="433"/>
      <c r="E535" s="460"/>
      <c r="F535" s="351"/>
      <c r="G535" s="455"/>
      <c r="H535" s="351"/>
      <c r="I535" s="456"/>
      <c r="J535" s="433"/>
      <c r="K535" s="353"/>
      <c r="L535" s="433"/>
    </row>
    <row r="536">
      <c r="A536" s="433"/>
      <c r="B536" s="456"/>
      <c r="C536" s="433"/>
      <c r="D536" s="433"/>
      <c r="E536" s="460"/>
      <c r="F536" s="351"/>
      <c r="G536" s="455"/>
      <c r="H536" s="351"/>
      <c r="I536" s="456"/>
      <c r="J536" s="433"/>
      <c r="K536" s="353"/>
      <c r="L536" s="433"/>
    </row>
    <row r="537">
      <c r="A537" s="433"/>
      <c r="B537" s="456"/>
      <c r="C537" s="433"/>
      <c r="D537" s="433"/>
      <c r="E537" s="460"/>
      <c r="F537" s="351"/>
      <c r="G537" s="455"/>
      <c r="H537" s="351"/>
      <c r="I537" s="456"/>
      <c r="J537" s="433"/>
      <c r="K537" s="353"/>
      <c r="L537" s="433"/>
    </row>
    <row r="538">
      <c r="A538" s="433"/>
      <c r="B538" s="456"/>
      <c r="C538" s="433"/>
      <c r="D538" s="433"/>
      <c r="E538" s="460"/>
      <c r="F538" s="351"/>
      <c r="G538" s="455"/>
      <c r="H538" s="351"/>
      <c r="I538" s="456"/>
      <c r="J538" s="433"/>
      <c r="K538" s="353"/>
      <c r="L538" s="433"/>
    </row>
    <row r="539">
      <c r="A539" s="433"/>
      <c r="B539" s="456"/>
      <c r="C539" s="433"/>
      <c r="D539" s="433"/>
      <c r="E539" s="460"/>
      <c r="F539" s="351"/>
      <c r="G539" s="455"/>
      <c r="H539" s="351"/>
      <c r="I539" s="456"/>
      <c r="J539" s="433"/>
      <c r="K539" s="353"/>
      <c r="L539" s="433"/>
    </row>
    <row r="540">
      <c r="A540" s="433"/>
      <c r="B540" s="456"/>
      <c r="C540" s="433"/>
      <c r="D540" s="433"/>
      <c r="E540" s="460"/>
      <c r="F540" s="351"/>
      <c r="G540" s="455"/>
      <c r="H540" s="351"/>
      <c r="I540" s="456"/>
      <c r="J540" s="433"/>
      <c r="K540" s="353"/>
      <c r="L540" s="433"/>
    </row>
    <row r="541">
      <c r="A541" s="433"/>
      <c r="B541" s="456"/>
      <c r="C541" s="433"/>
      <c r="D541" s="433"/>
      <c r="E541" s="460"/>
      <c r="F541" s="351"/>
      <c r="G541" s="455"/>
      <c r="H541" s="351"/>
      <c r="I541" s="456"/>
      <c r="J541" s="433"/>
      <c r="K541" s="353"/>
      <c r="L541" s="433"/>
    </row>
    <row r="542">
      <c r="A542" s="433"/>
      <c r="B542" s="456"/>
      <c r="C542" s="433"/>
      <c r="D542" s="433"/>
      <c r="E542" s="460"/>
      <c r="F542" s="351"/>
      <c r="G542" s="455"/>
      <c r="H542" s="351"/>
      <c r="I542" s="456"/>
      <c r="J542" s="433"/>
      <c r="K542" s="353"/>
      <c r="L542" s="433"/>
    </row>
    <row r="543">
      <c r="A543" s="433"/>
      <c r="B543" s="456"/>
      <c r="C543" s="433"/>
      <c r="D543" s="433"/>
      <c r="E543" s="460"/>
      <c r="F543" s="351"/>
      <c r="G543" s="455"/>
      <c r="H543" s="351"/>
      <c r="I543" s="456"/>
      <c r="J543" s="433"/>
      <c r="K543" s="353"/>
      <c r="L543" s="433"/>
    </row>
    <row r="544">
      <c r="A544" s="433"/>
      <c r="B544" s="456"/>
      <c r="C544" s="433"/>
      <c r="D544" s="433"/>
      <c r="E544" s="460"/>
      <c r="F544" s="351"/>
      <c r="G544" s="455"/>
      <c r="H544" s="351"/>
      <c r="I544" s="456"/>
      <c r="J544" s="433"/>
      <c r="K544" s="353"/>
      <c r="L544" s="433"/>
    </row>
    <row r="545">
      <c r="A545" s="433"/>
      <c r="B545" s="456"/>
      <c r="C545" s="433"/>
      <c r="D545" s="433"/>
      <c r="E545" s="460"/>
      <c r="F545" s="351"/>
      <c r="G545" s="455"/>
      <c r="H545" s="351"/>
      <c r="I545" s="456"/>
      <c r="J545" s="433"/>
      <c r="K545" s="353"/>
      <c r="L545" s="433"/>
    </row>
    <row r="546">
      <c r="A546" s="433"/>
      <c r="B546" s="456"/>
      <c r="C546" s="433"/>
      <c r="D546" s="433"/>
      <c r="E546" s="460"/>
      <c r="F546" s="351"/>
      <c r="G546" s="455"/>
      <c r="H546" s="351"/>
      <c r="I546" s="456"/>
      <c r="J546" s="433"/>
      <c r="K546" s="353"/>
      <c r="L546" s="433"/>
    </row>
    <row r="547">
      <c r="A547" s="433"/>
      <c r="B547" s="456"/>
      <c r="C547" s="433"/>
      <c r="D547" s="433"/>
      <c r="E547" s="460"/>
      <c r="F547" s="351"/>
      <c r="G547" s="455"/>
      <c r="H547" s="351"/>
      <c r="I547" s="456"/>
      <c r="J547" s="433"/>
      <c r="K547" s="353"/>
      <c r="L547" s="433"/>
    </row>
    <row r="548">
      <c r="A548" s="433"/>
      <c r="B548" s="456"/>
      <c r="C548" s="433"/>
      <c r="D548" s="433"/>
      <c r="E548" s="460"/>
      <c r="F548" s="351"/>
      <c r="G548" s="455"/>
      <c r="H548" s="351"/>
      <c r="I548" s="456"/>
      <c r="J548" s="433"/>
      <c r="K548" s="353"/>
      <c r="L548" s="433"/>
    </row>
    <row r="549">
      <c r="A549" s="433"/>
      <c r="B549" s="456"/>
      <c r="C549" s="433"/>
      <c r="D549" s="433"/>
      <c r="E549" s="460"/>
      <c r="F549" s="351"/>
      <c r="G549" s="455"/>
      <c r="H549" s="351"/>
      <c r="I549" s="456"/>
      <c r="J549" s="433"/>
      <c r="K549" s="353"/>
      <c r="L549" s="433"/>
    </row>
    <row r="550">
      <c r="A550" s="433"/>
      <c r="B550" s="456"/>
      <c r="C550" s="433"/>
      <c r="D550" s="433"/>
      <c r="E550" s="460"/>
      <c r="F550" s="351"/>
      <c r="G550" s="455"/>
      <c r="H550" s="351"/>
      <c r="I550" s="456"/>
      <c r="J550" s="433"/>
      <c r="K550" s="353"/>
      <c r="L550" s="433"/>
    </row>
    <row r="551">
      <c r="A551" s="433"/>
      <c r="B551" s="456"/>
      <c r="C551" s="433"/>
      <c r="D551" s="433"/>
      <c r="E551" s="460"/>
      <c r="F551" s="351"/>
      <c r="G551" s="455"/>
      <c r="H551" s="351"/>
      <c r="I551" s="456"/>
      <c r="J551" s="433"/>
      <c r="K551" s="353"/>
      <c r="L551" s="433"/>
    </row>
    <row r="552">
      <c r="A552" s="433"/>
      <c r="B552" s="456"/>
      <c r="C552" s="433"/>
      <c r="D552" s="433"/>
      <c r="E552" s="460"/>
      <c r="F552" s="351"/>
      <c r="G552" s="455"/>
      <c r="H552" s="351"/>
      <c r="I552" s="456"/>
      <c r="J552" s="433"/>
      <c r="K552" s="353"/>
      <c r="L552" s="433"/>
    </row>
    <row r="553">
      <c r="A553" s="433"/>
      <c r="B553" s="456"/>
      <c r="C553" s="433"/>
      <c r="D553" s="433"/>
      <c r="E553" s="460"/>
      <c r="F553" s="351"/>
      <c r="G553" s="455"/>
      <c r="H553" s="351"/>
      <c r="I553" s="456"/>
      <c r="J553" s="433"/>
      <c r="K553" s="353"/>
      <c r="L553" s="433"/>
    </row>
    <row r="554">
      <c r="A554" s="433"/>
      <c r="B554" s="456"/>
      <c r="C554" s="433"/>
      <c r="D554" s="433"/>
      <c r="E554" s="460"/>
      <c r="F554" s="351"/>
      <c r="G554" s="455"/>
      <c r="H554" s="351"/>
      <c r="I554" s="456"/>
      <c r="J554" s="433"/>
      <c r="K554" s="353"/>
      <c r="L554" s="433"/>
    </row>
    <row r="555">
      <c r="A555" s="433"/>
      <c r="B555" s="456"/>
      <c r="C555" s="433"/>
      <c r="D555" s="433"/>
      <c r="E555" s="460"/>
      <c r="F555" s="351"/>
      <c r="G555" s="455"/>
      <c r="H555" s="351"/>
      <c r="I555" s="456"/>
      <c r="J555" s="433"/>
      <c r="K555" s="353"/>
      <c r="L555" s="433"/>
    </row>
    <row r="556">
      <c r="A556" s="433"/>
      <c r="B556" s="456"/>
      <c r="C556" s="433"/>
      <c r="D556" s="433"/>
      <c r="E556" s="460"/>
      <c r="F556" s="351"/>
      <c r="G556" s="455"/>
      <c r="H556" s="351"/>
      <c r="I556" s="456"/>
      <c r="J556" s="433"/>
      <c r="K556" s="353"/>
      <c r="L556" s="433"/>
    </row>
    <row r="557">
      <c r="A557" s="433"/>
      <c r="B557" s="456"/>
      <c r="C557" s="433"/>
      <c r="D557" s="433"/>
      <c r="E557" s="460"/>
      <c r="F557" s="351"/>
      <c r="G557" s="455"/>
      <c r="H557" s="351"/>
      <c r="I557" s="456"/>
      <c r="J557" s="433"/>
      <c r="K557" s="353"/>
      <c r="L557" s="433"/>
    </row>
    <row r="558">
      <c r="A558" s="433"/>
      <c r="B558" s="456"/>
      <c r="C558" s="433"/>
      <c r="D558" s="433"/>
      <c r="E558" s="460"/>
      <c r="F558" s="351"/>
      <c r="G558" s="455"/>
      <c r="H558" s="351"/>
      <c r="I558" s="456"/>
      <c r="J558" s="433"/>
      <c r="K558" s="353"/>
      <c r="L558" s="433"/>
    </row>
    <row r="559">
      <c r="A559" s="433"/>
      <c r="B559" s="456"/>
      <c r="C559" s="433"/>
      <c r="D559" s="433"/>
      <c r="E559" s="460"/>
      <c r="F559" s="351"/>
      <c r="G559" s="455"/>
      <c r="H559" s="351"/>
      <c r="I559" s="456"/>
      <c r="J559" s="433"/>
      <c r="K559" s="353"/>
      <c r="L559" s="433"/>
    </row>
    <row r="560">
      <c r="A560" s="433"/>
      <c r="B560" s="456"/>
      <c r="C560" s="433"/>
      <c r="D560" s="433"/>
      <c r="E560" s="460"/>
      <c r="F560" s="351"/>
      <c r="G560" s="455"/>
      <c r="H560" s="351"/>
      <c r="I560" s="456"/>
      <c r="J560" s="433"/>
      <c r="K560" s="353"/>
      <c r="L560" s="433"/>
    </row>
    <row r="561">
      <c r="A561" s="433"/>
      <c r="B561" s="456"/>
      <c r="C561" s="433"/>
      <c r="D561" s="433"/>
      <c r="E561" s="460"/>
      <c r="F561" s="351"/>
      <c r="G561" s="455"/>
      <c r="H561" s="351"/>
      <c r="I561" s="456"/>
      <c r="J561" s="433"/>
      <c r="K561" s="353"/>
      <c r="L561" s="433"/>
    </row>
    <row r="562">
      <c r="A562" s="433"/>
      <c r="B562" s="456"/>
      <c r="C562" s="433"/>
      <c r="D562" s="433"/>
      <c r="E562" s="460"/>
      <c r="F562" s="351"/>
      <c r="G562" s="455"/>
      <c r="H562" s="351"/>
      <c r="I562" s="456"/>
      <c r="J562" s="433"/>
      <c r="K562" s="353"/>
      <c r="L562" s="433"/>
    </row>
    <row r="563">
      <c r="A563" s="433"/>
      <c r="B563" s="456"/>
      <c r="C563" s="433"/>
      <c r="D563" s="433"/>
      <c r="E563" s="460"/>
      <c r="F563" s="351"/>
      <c r="G563" s="455"/>
      <c r="H563" s="351"/>
      <c r="I563" s="456"/>
      <c r="J563" s="433"/>
      <c r="K563" s="353"/>
      <c r="L563" s="433"/>
    </row>
    <row r="564">
      <c r="A564" s="433"/>
      <c r="B564" s="456"/>
      <c r="C564" s="433"/>
      <c r="D564" s="433"/>
      <c r="E564" s="460"/>
      <c r="F564" s="351"/>
      <c r="G564" s="455"/>
      <c r="H564" s="351"/>
      <c r="I564" s="456"/>
      <c r="J564" s="433"/>
      <c r="K564" s="353"/>
      <c r="L564" s="433"/>
    </row>
    <row r="565">
      <c r="A565" s="433"/>
      <c r="B565" s="456"/>
      <c r="C565" s="433"/>
      <c r="D565" s="433"/>
      <c r="E565" s="460"/>
      <c r="F565" s="351"/>
      <c r="G565" s="455"/>
      <c r="H565" s="351"/>
      <c r="I565" s="456"/>
      <c r="J565" s="433"/>
      <c r="K565" s="353"/>
      <c r="L565" s="433"/>
    </row>
    <row r="566">
      <c r="A566" s="433"/>
      <c r="B566" s="456"/>
      <c r="C566" s="433"/>
      <c r="D566" s="433"/>
      <c r="E566" s="460"/>
      <c r="F566" s="351"/>
      <c r="G566" s="455"/>
      <c r="H566" s="351"/>
      <c r="I566" s="456"/>
      <c r="J566" s="433"/>
      <c r="K566" s="353"/>
      <c r="L566" s="433"/>
    </row>
    <row r="567">
      <c r="A567" s="433"/>
      <c r="B567" s="456"/>
      <c r="C567" s="433"/>
      <c r="D567" s="433"/>
      <c r="E567" s="460"/>
      <c r="F567" s="351"/>
      <c r="G567" s="455"/>
      <c r="H567" s="351"/>
      <c r="I567" s="456"/>
      <c r="J567" s="433"/>
      <c r="K567" s="353"/>
      <c r="L567" s="433"/>
    </row>
    <row r="568">
      <c r="A568" s="433"/>
      <c r="B568" s="456"/>
      <c r="C568" s="433"/>
      <c r="D568" s="433"/>
      <c r="E568" s="460"/>
      <c r="F568" s="351"/>
      <c r="G568" s="455"/>
      <c r="H568" s="351"/>
      <c r="I568" s="456"/>
      <c r="J568" s="433"/>
      <c r="K568" s="353"/>
      <c r="L568" s="433"/>
    </row>
    <row r="569">
      <c r="A569" s="433"/>
      <c r="B569" s="456"/>
      <c r="C569" s="433"/>
      <c r="D569" s="433"/>
      <c r="E569" s="460"/>
      <c r="F569" s="351"/>
      <c r="G569" s="455"/>
      <c r="H569" s="351"/>
      <c r="I569" s="456"/>
      <c r="J569" s="433"/>
      <c r="K569" s="353"/>
      <c r="L569" s="433"/>
    </row>
    <row r="570">
      <c r="A570" s="433"/>
      <c r="B570" s="456"/>
      <c r="C570" s="433"/>
      <c r="D570" s="433"/>
      <c r="E570" s="460"/>
      <c r="F570" s="351"/>
      <c r="G570" s="455"/>
      <c r="H570" s="351"/>
      <c r="I570" s="456"/>
      <c r="J570" s="433"/>
      <c r="K570" s="353"/>
      <c r="L570" s="433"/>
    </row>
    <row r="571">
      <c r="A571" s="433"/>
      <c r="B571" s="456"/>
      <c r="C571" s="433"/>
      <c r="D571" s="433"/>
      <c r="E571" s="460"/>
      <c r="F571" s="351"/>
      <c r="G571" s="455"/>
      <c r="H571" s="351"/>
      <c r="I571" s="456"/>
      <c r="J571" s="433"/>
      <c r="K571" s="353"/>
      <c r="L571" s="433"/>
    </row>
    <row r="572">
      <c r="A572" s="433"/>
      <c r="B572" s="456"/>
      <c r="C572" s="433"/>
      <c r="D572" s="433"/>
      <c r="E572" s="460"/>
      <c r="F572" s="351"/>
      <c r="G572" s="455"/>
      <c r="H572" s="351"/>
      <c r="I572" s="456"/>
      <c r="J572" s="433"/>
      <c r="K572" s="353"/>
      <c r="L572" s="433"/>
    </row>
    <row r="573">
      <c r="A573" s="433"/>
      <c r="B573" s="456"/>
      <c r="C573" s="433"/>
      <c r="D573" s="433"/>
      <c r="E573" s="460"/>
      <c r="F573" s="351"/>
      <c r="G573" s="455"/>
      <c r="H573" s="351"/>
      <c r="I573" s="456"/>
      <c r="J573" s="433"/>
      <c r="K573" s="353"/>
      <c r="L573" s="433"/>
    </row>
    <row r="574">
      <c r="A574" s="433"/>
      <c r="B574" s="456"/>
      <c r="C574" s="433"/>
      <c r="D574" s="433"/>
      <c r="E574" s="460"/>
      <c r="F574" s="351"/>
      <c r="G574" s="455"/>
      <c r="H574" s="351"/>
      <c r="I574" s="456"/>
      <c r="J574" s="433"/>
      <c r="K574" s="353"/>
      <c r="L574" s="433"/>
    </row>
    <row r="575">
      <c r="A575" s="433"/>
      <c r="B575" s="456"/>
      <c r="C575" s="433"/>
      <c r="D575" s="433"/>
      <c r="E575" s="460"/>
      <c r="F575" s="351"/>
      <c r="G575" s="455"/>
      <c r="H575" s="351"/>
      <c r="I575" s="456"/>
      <c r="J575" s="433"/>
      <c r="K575" s="353"/>
      <c r="L575" s="433"/>
    </row>
    <row r="576">
      <c r="A576" s="433"/>
      <c r="B576" s="456"/>
      <c r="C576" s="433"/>
      <c r="D576" s="433"/>
      <c r="E576" s="460"/>
      <c r="F576" s="351"/>
      <c r="G576" s="455"/>
      <c r="H576" s="351"/>
      <c r="I576" s="456"/>
      <c r="J576" s="433"/>
      <c r="K576" s="353"/>
      <c r="L576" s="433"/>
    </row>
    <row r="577">
      <c r="A577" s="433"/>
      <c r="B577" s="456"/>
      <c r="C577" s="433"/>
      <c r="D577" s="433"/>
      <c r="E577" s="460"/>
      <c r="F577" s="351"/>
      <c r="G577" s="455"/>
      <c r="H577" s="351"/>
      <c r="I577" s="456"/>
      <c r="J577" s="433"/>
      <c r="K577" s="353"/>
      <c r="L577" s="433"/>
    </row>
    <row r="578">
      <c r="A578" s="433"/>
      <c r="B578" s="456"/>
      <c r="C578" s="433"/>
      <c r="D578" s="433"/>
      <c r="E578" s="460"/>
      <c r="F578" s="351"/>
      <c r="G578" s="455"/>
      <c r="H578" s="351"/>
      <c r="I578" s="456"/>
      <c r="J578" s="433"/>
      <c r="K578" s="353"/>
      <c r="L578" s="433"/>
    </row>
    <row r="579">
      <c r="A579" s="433"/>
      <c r="B579" s="456"/>
      <c r="C579" s="433"/>
      <c r="D579" s="433"/>
      <c r="E579" s="460"/>
      <c r="F579" s="351"/>
      <c r="G579" s="455"/>
      <c r="H579" s="351"/>
      <c r="I579" s="456"/>
      <c r="J579" s="433"/>
      <c r="K579" s="353"/>
      <c r="L579" s="433"/>
    </row>
    <row r="580">
      <c r="A580" s="433"/>
      <c r="B580" s="456"/>
      <c r="C580" s="433"/>
      <c r="D580" s="433"/>
      <c r="E580" s="460"/>
      <c r="F580" s="351"/>
      <c r="G580" s="455"/>
      <c r="H580" s="351"/>
      <c r="I580" s="456"/>
      <c r="J580" s="433"/>
      <c r="K580" s="353"/>
      <c r="L580" s="433"/>
    </row>
    <row r="581">
      <c r="A581" s="433"/>
      <c r="B581" s="456"/>
      <c r="C581" s="433"/>
      <c r="D581" s="433"/>
      <c r="E581" s="460"/>
      <c r="F581" s="351"/>
      <c r="G581" s="455"/>
      <c r="H581" s="351"/>
      <c r="I581" s="456"/>
      <c r="J581" s="433"/>
      <c r="K581" s="353"/>
      <c r="L581" s="433"/>
    </row>
    <row r="582">
      <c r="A582" s="433"/>
      <c r="B582" s="456"/>
      <c r="C582" s="433"/>
      <c r="D582" s="433"/>
      <c r="E582" s="460"/>
      <c r="F582" s="351"/>
      <c r="G582" s="455"/>
      <c r="H582" s="351"/>
      <c r="I582" s="456"/>
      <c r="J582" s="433"/>
      <c r="K582" s="353"/>
      <c r="L582" s="433"/>
    </row>
    <row r="583">
      <c r="A583" s="433"/>
      <c r="B583" s="456"/>
      <c r="C583" s="433"/>
      <c r="D583" s="433"/>
      <c r="E583" s="460"/>
      <c r="F583" s="351"/>
      <c r="G583" s="455"/>
      <c r="H583" s="351"/>
      <c r="I583" s="456"/>
      <c r="J583" s="433"/>
      <c r="K583" s="353"/>
      <c r="L583" s="433"/>
    </row>
    <row r="584">
      <c r="A584" s="433"/>
      <c r="B584" s="456"/>
      <c r="C584" s="433"/>
      <c r="D584" s="433"/>
      <c r="E584" s="460"/>
      <c r="F584" s="351"/>
      <c r="G584" s="455"/>
      <c r="H584" s="351"/>
      <c r="I584" s="456"/>
      <c r="J584" s="433"/>
      <c r="K584" s="353"/>
      <c r="L584" s="433"/>
    </row>
    <row r="585">
      <c r="A585" s="433"/>
      <c r="B585" s="456"/>
      <c r="C585" s="433"/>
      <c r="D585" s="433"/>
      <c r="E585" s="460"/>
      <c r="F585" s="351"/>
      <c r="G585" s="455"/>
      <c r="H585" s="351"/>
      <c r="I585" s="456"/>
      <c r="J585" s="433"/>
      <c r="K585" s="353"/>
      <c r="L585" s="433"/>
    </row>
    <row r="586">
      <c r="A586" s="433"/>
      <c r="B586" s="456"/>
      <c r="C586" s="433"/>
      <c r="D586" s="433"/>
      <c r="E586" s="460"/>
      <c r="F586" s="351"/>
      <c r="G586" s="455"/>
      <c r="H586" s="351"/>
      <c r="I586" s="456"/>
      <c r="J586" s="433"/>
      <c r="K586" s="353"/>
      <c r="L586" s="433"/>
    </row>
    <row r="587">
      <c r="A587" s="433"/>
      <c r="B587" s="456"/>
      <c r="C587" s="433"/>
      <c r="D587" s="433"/>
      <c r="E587" s="460"/>
      <c r="F587" s="351"/>
      <c r="G587" s="455"/>
      <c r="H587" s="351"/>
      <c r="I587" s="456"/>
      <c r="J587" s="433"/>
      <c r="K587" s="353"/>
      <c r="L587" s="433"/>
    </row>
    <row r="588">
      <c r="A588" s="433"/>
      <c r="B588" s="456"/>
      <c r="C588" s="433"/>
      <c r="D588" s="433"/>
      <c r="E588" s="460"/>
      <c r="F588" s="351"/>
      <c r="G588" s="455"/>
      <c r="H588" s="351"/>
      <c r="I588" s="456"/>
      <c r="J588" s="433"/>
      <c r="K588" s="353"/>
      <c r="L588" s="433"/>
    </row>
    <row r="589">
      <c r="A589" s="433"/>
      <c r="B589" s="456"/>
      <c r="C589" s="433"/>
      <c r="D589" s="433"/>
      <c r="E589" s="460"/>
      <c r="F589" s="351"/>
      <c r="G589" s="455"/>
      <c r="H589" s="351"/>
      <c r="I589" s="456"/>
      <c r="J589" s="433"/>
      <c r="K589" s="353"/>
      <c r="L589" s="433"/>
    </row>
    <row r="590">
      <c r="A590" s="433"/>
      <c r="B590" s="456"/>
      <c r="C590" s="433"/>
      <c r="D590" s="433"/>
      <c r="E590" s="460"/>
      <c r="F590" s="351"/>
      <c r="G590" s="455"/>
      <c r="H590" s="351"/>
      <c r="I590" s="456"/>
      <c r="J590" s="433"/>
      <c r="K590" s="353"/>
      <c r="L590" s="433"/>
    </row>
    <row r="591">
      <c r="A591" s="433"/>
      <c r="B591" s="456"/>
      <c r="C591" s="433"/>
      <c r="D591" s="433"/>
      <c r="E591" s="460"/>
      <c r="F591" s="351"/>
      <c r="G591" s="455"/>
      <c r="H591" s="351"/>
      <c r="I591" s="456"/>
      <c r="J591" s="433"/>
      <c r="K591" s="353"/>
      <c r="L591" s="433"/>
    </row>
    <row r="592">
      <c r="A592" s="433"/>
      <c r="B592" s="456"/>
      <c r="C592" s="433"/>
      <c r="D592" s="433"/>
      <c r="E592" s="460"/>
      <c r="F592" s="351"/>
      <c r="G592" s="455"/>
      <c r="H592" s="351"/>
      <c r="I592" s="456"/>
      <c r="J592" s="433"/>
      <c r="K592" s="353"/>
      <c r="L592" s="433"/>
    </row>
    <row r="593">
      <c r="A593" s="433"/>
      <c r="B593" s="456"/>
      <c r="C593" s="433"/>
      <c r="D593" s="433"/>
      <c r="E593" s="460"/>
      <c r="F593" s="351"/>
      <c r="G593" s="455"/>
      <c r="H593" s="351"/>
      <c r="I593" s="456"/>
      <c r="J593" s="433"/>
      <c r="K593" s="353"/>
      <c r="L593" s="433"/>
    </row>
    <row r="594">
      <c r="A594" s="433"/>
      <c r="B594" s="456"/>
      <c r="C594" s="433"/>
      <c r="D594" s="433"/>
      <c r="E594" s="460"/>
      <c r="F594" s="351"/>
      <c r="G594" s="455"/>
      <c r="H594" s="351"/>
      <c r="I594" s="456"/>
      <c r="J594" s="433"/>
      <c r="K594" s="353"/>
      <c r="L594" s="433"/>
    </row>
    <row r="595">
      <c r="A595" s="433"/>
      <c r="B595" s="456"/>
      <c r="C595" s="433"/>
      <c r="D595" s="433"/>
      <c r="E595" s="460"/>
      <c r="F595" s="351"/>
      <c r="G595" s="455"/>
      <c r="H595" s="351"/>
      <c r="I595" s="456"/>
      <c r="J595" s="433"/>
      <c r="K595" s="353"/>
      <c r="L595" s="433"/>
    </row>
    <row r="596">
      <c r="A596" s="433"/>
      <c r="B596" s="456"/>
      <c r="C596" s="433"/>
      <c r="D596" s="433"/>
      <c r="E596" s="460"/>
      <c r="F596" s="351"/>
      <c r="G596" s="455"/>
      <c r="H596" s="351"/>
      <c r="I596" s="456"/>
      <c r="J596" s="433"/>
      <c r="K596" s="353"/>
      <c r="L596" s="433"/>
    </row>
    <row r="597">
      <c r="A597" s="433"/>
      <c r="B597" s="456"/>
      <c r="C597" s="433"/>
      <c r="D597" s="433"/>
      <c r="E597" s="460"/>
      <c r="F597" s="351"/>
      <c r="G597" s="455"/>
      <c r="H597" s="351"/>
      <c r="I597" s="456"/>
      <c r="J597" s="433"/>
      <c r="K597" s="353"/>
      <c r="L597" s="433"/>
    </row>
    <row r="598">
      <c r="A598" s="433"/>
      <c r="B598" s="456"/>
      <c r="C598" s="433"/>
      <c r="D598" s="433"/>
      <c r="E598" s="460"/>
      <c r="F598" s="351"/>
      <c r="G598" s="455"/>
      <c r="H598" s="351"/>
      <c r="I598" s="456"/>
      <c r="J598" s="433"/>
      <c r="K598" s="353"/>
      <c r="L598" s="433"/>
    </row>
    <row r="599">
      <c r="A599" s="433"/>
      <c r="B599" s="456"/>
      <c r="C599" s="433"/>
      <c r="D599" s="433"/>
      <c r="E599" s="460"/>
      <c r="F599" s="351"/>
      <c r="G599" s="455"/>
      <c r="H599" s="351"/>
      <c r="I599" s="456"/>
      <c r="J599" s="433"/>
      <c r="K599" s="353"/>
      <c r="L599" s="433"/>
    </row>
    <row r="600">
      <c r="A600" s="433"/>
      <c r="B600" s="456"/>
      <c r="C600" s="433"/>
      <c r="D600" s="433"/>
      <c r="E600" s="460"/>
      <c r="F600" s="351"/>
      <c r="G600" s="455"/>
      <c r="H600" s="351"/>
      <c r="I600" s="456"/>
      <c r="J600" s="433"/>
      <c r="K600" s="353"/>
      <c r="L600" s="433"/>
    </row>
    <row r="601">
      <c r="A601" s="433"/>
      <c r="B601" s="456"/>
      <c r="C601" s="433"/>
      <c r="D601" s="433"/>
      <c r="E601" s="460"/>
      <c r="F601" s="351"/>
      <c r="G601" s="455"/>
      <c r="H601" s="351"/>
      <c r="I601" s="456"/>
      <c r="J601" s="433"/>
      <c r="K601" s="353"/>
      <c r="L601" s="433"/>
    </row>
    <row r="602">
      <c r="A602" s="433"/>
      <c r="B602" s="456"/>
      <c r="C602" s="433"/>
      <c r="D602" s="433"/>
      <c r="E602" s="460"/>
      <c r="F602" s="351"/>
      <c r="G602" s="455"/>
      <c r="H602" s="351"/>
      <c r="I602" s="456"/>
      <c r="J602" s="433"/>
      <c r="K602" s="353"/>
      <c r="L602" s="433"/>
    </row>
    <row r="603">
      <c r="A603" s="433"/>
      <c r="B603" s="456"/>
      <c r="C603" s="433"/>
      <c r="D603" s="433"/>
      <c r="E603" s="460"/>
      <c r="F603" s="351"/>
      <c r="G603" s="455"/>
      <c r="H603" s="351"/>
      <c r="I603" s="456"/>
      <c r="J603" s="433"/>
      <c r="K603" s="353"/>
      <c r="L603" s="433"/>
    </row>
    <row r="604">
      <c r="A604" s="433"/>
      <c r="B604" s="456"/>
      <c r="C604" s="433"/>
      <c r="D604" s="433"/>
      <c r="E604" s="460"/>
      <c r="F604" s="351"/>
      <c r="G604" s="455"/>
      <c r="H604" s="351"/>
      <c r="I604" s="456"/>
      <c r="J604" s="433"/>
      <c r="K604" s="353"/>
      <c r="L604" s="433"/>
    </row>
    <row r="605">
      <c r="A605" s="433"/>
      <c r="B605" s="456"/>
      <c r="C605" s="433"/>
      <c r="D605" s="433"/>
      <c r="E605" s="460"/>
      <c r="F605" s="351"/>
      <c r="G605" s="455"/>
      <c r="H605" s="351"/>
      <c r="I605" s="456"/>
      <c r="J605" s="433"/>
      <c r="K605" s="353"/>
      <c r="L605" s="433"/>
    </row>
    <row r="606">
      <c r="A606" s="433"/>
      <c r="B606" s="456"/>
      <c r="C606" s="433"/>
      <c r="D606" s="433"/>
      <c r="E606" s="460"/>
      <c r="F606" s="351"/>
      <c r="G606" s="455"/>
      <c r="H606" s="351"/>
      <c r="I606" s="456"/>
      <c r="J606" s="433"/>
      <c r="K606" s="353"/>
      <c r="L606" s="433"/>
    </row>
    <row r="607">
      <c r="A607" s="433"/>
      <c r="B607" s="456"/>
      <c r="C607" s="433"/>
      <c r="D607" s="433"/>
      <c r="E607" s="460"/>
      <c r="F607" s="351"/>
      <c r="G607" s="455"/>
      <c r="H607" s="351"/>
      <c r="I607" s="456"/>
      <c r="J607" s="433"/>
      <c r="K607" s="353"/>
      <c r="L607" s="433"/>
    </row>
    <row r="608">
      <c r="A608" s="433"/>
      <c r="B608" s="456"/>
      <c r="C608" s="433"/>
      <c r="D608" s="433"/>
      <c r="E608" s="460"/>
      <c r="F608" s="351"/>
      <c r="G608" s="455"/>
      <c r="H608" s="351"/>
      <c r="I608" s="456"/>
      <c r="J608" s="433"/>
      <c r="K608" s="353"/>
      <c r="L608" s="433"/>
    </row>
    <row r="609">
      <c r="A609" s="433"/>
      <c r="B609" s="456"/>
      <c r="C609" s="433"/>
      <c r="D609" s="433"/>
      <c r="E609" s="460"/>
      <c r="F609" s="351"/>
      <c r="G609" s="455"/>
      <c r="H609" s="351"/>
      <c r="I609" s="456"/>
      <c r="J609" s="433"/>
      <c r="K609" s="353"/>
      <c r="L609" s="433"/>
    </row>
    <row r="610">
      <c r="A610" s="433"/>
      <c r="B610" s="456"/>
      <c r="C610" s="433"/>
      <c r="D610" s="433"/>
      <c r="E610" s="460"/>
      <c r="F610" s="351"/>
      <c r="G610" s="455"/>
      <c r="H610" s="351"/>
      <c r="I610" s="456"/>
      <c r="J610" s="433"/>
      <c r="K610" s="353"/>
      <c r="L610" s="433"/>
    </row>
    <row r="611">
      <c r="A611" s="433"/>
      <c r="B611" s="456"/>
      <c r="C611" s="433"/>
      <c r="D611" s="433"/>
      <c r="E611" s="460"/>
      <c r="F611" s="351"/>
      <c r="G611" s="455"/>
      <c r="H611" s="351"/>
      <c r="I611" s="456"/>
      <c r="J611" s="433"/>
      <c r="K611" s="353"/>
      <c r="L611" s="433"/>
    </row>
    <row r="612">
      <c r="A612" s="433"/>
      <c r="B612" s="456"/>
      <c r="C612" s="433"/>
      <c r="D612" s="433"/>
      <c r="E612" s="460"/>
      <c r="F612" s="351"/>
      <c r="G612" s="455"/>
      <c r="H612" s="351"/>
      <c r="I612" s="456"/>
      <c r="J612" s="433"/>
      <c r="K612" s="353"/>
      <c r="L612" s="433"/>
    </row>
    <row r="613">
      <c r="A613" s="433"/>
      <c r="B613" s="456"/>
      <c r="C613" s="433"/>
      <c r="D613" s="433"/>
      <c r="E613" s="460"/>
      <c r="F613" s="351"/>
      <c r="G613" s="455"/>
      <c r="H613" s="351"/>
      <c r="I613" s="456"/>
      <c r="J613" s="433"/>
      <c r="K613" s="353"/>
      <c r="L613" s="433"/>
    </row>
    <row r="614">
      <c r="A614" s="433"/>
      <c r="B614" s="456"/>
      <c r="C614" s="433"/>
      <c r="D614" s="433"/>
      <c r="E614" s="460"/>
      <c r="F614" s="351"/>
      <c r="G614" s="455"/>
      <c r="H614" s="351"/>
      <c r="I614" s="456"/>
      <c r="J614" s="433"/>
      <c r="K614" s="353"/>
      <c r="L614" s="433"/>
    </row>
    <row r="615">
      <c r="A615" s="433"/>
      <c r="B615" s="456"/>
      <c r="C615" s="433"/>
      <c r="D615" s="433"/>
      <c r="E615" s="460"/>
      <c r="F615" s="351"/>
      <c r="G615" s="455"/>
      <c r="H615" s="351"/>
      <c r="I615" s="456"/>
      <c r="J615" s="433"/>
      <c r="K615" s="353"/>
      <c r="L615" s="433"/>
    </row>
    <row r="616">
      <c r="A616" s="433"/>
      <c r="B616" s="456"/>
      <c r="C616" s="433"/>
      <c r="D616" s="433"/>
      <c r="E616" s="460"/>
      <c r="F616" s="351"/>
      <c r="G616" s="455"/>
      <c r="H616" s="351"/>
      <c r="I616" s="456"/>
      <c r="J616" s="433"/>
      <c r="K616" s="353"/>
      <c r="L616" s="433"/>
    </row>
    <row r="617">
      <c r="A617" s="433"/>
      <c r="B617" s="456"/>
      <c r="C617" s="433"/>
      <c r="D617" s="433"/>
      <c r="E617" s="460"/>
      <c r="F617" s="351"/>
      <c r="G617" s="455"/>
      <c r="H617" s="351"/>
      <c r="I617" s="456"/>
      <c r="J617" s="433"/>
      <c r="K617" s="353"/>
      <c r="L617" s="433"/>
    </row>
    <row r="618">
      <c r="A618" s="433"/>
      <c r="B618" s="456"/>
      <c r="C618" s="433"/>
      <c r="D618" s="433"/>
      <c r="E618" s="460"/>
      <c r="F618" s="351"/>
      <c r="G618" s="455"/>
      <c r="H618" s="351"/>
      <c r="I618" s="456"/>
      <c r="J618" s="433"/>
      <c r="K618" s="353"/>
      <c r="L618" s="433"/>
    </row>
    <row r="619">
      <c r="A619" s="433"/>
      <c r="B619" s="456"/>
      <c r="C619" s="433"/>
      <c r="D619" s="433"/>
      <c r="E619" s="460"/>
      <c r="F619" s="351"/>
      <c r="G619" s="455"/>
      <c r="H619" s="351"/>
      <c r="I619" s="456"/>
      <c r="J619" s="433"/>
      <c r="K619" s="353"/>
      <c r="L619" s="433"/>
    </row>
    <row r="620">
      <c r="A620" s="433"/>
      <c r="B620" s="456"/>
      <c r="C620" s="433"/>
      <c r="D620" s="433"/>
      <c r="E620" s="460"/>
      <c r="F620" s="351"/>
      <c r="G620" s="455"/>
      <c r="H620" s="351"/>
      <c r="I620" s="456"/>
      <c r="J620" s="433"/>
      <c r="K620" s="353"/>
      <c r="L620" s="433"/>
    </row>
    <row r="621">
      <c r="A621" s="433"/>
      <c r="B621" s="456"/>
      <c r="C621" s="433"/>
      <c r="D621" s="433"/>
      <c r="E621" s="460"/>
      <c r="F621" s="351"/>
      <c r="G621" s="455"/>
      <c r="H621" s="351"/>
      <c r="I621" s="456"/>
      <c r="J621" s="433"/>
      <c r="K621" s="353"/>
      <c r="L621" s="433"/>
    </row>
    <row r="622">
      <c r="A622" s="433"/>
      <c r="B622" s="456"/>
      <c r="C622" s="433"/>
      <c r="D622" s="433"/>
      <c r="E622" s="460"/>
      <c r="F622" s="351"/>
      <c r="G622" s="455"/>
      <c r="H622" s="351"/>
      <c r="I622" s="456"/>
      <c r="J622" s="433"/>
      <c r="K622" s="353"/>
      <c r="L622" s="433"/>
    </row>
    <row r="623">
      <c r="A623" s="433"/>
      <c r="B623" s="456"/>
      <c r="C623" s="433"/>
      <c r="D623" s="433"/>
      <c r="E623" s="460"/>
      <c r="F623" s="351"/>
      <c r="G623" s="455"/>
      <c r="H623" s="351"/>
      <c r="I623" s="456"/>
      <c r="J623" s="433"/>
      <c r="K623" s="353"/>
      <c r="L623" s="433"/>
    </row>
    <row r="624">
      <c r="A624" s="433"/>
      <c r="B624" s="456"/>
      <c r="C624" s="433"/>
      <c r="D624" s="433"/>
      <c r="E624" s="460"/>
      <c r="F624" s="351"/>
      <c r="G624" s="455"/>
      <c r="H624" s="351"/>
      <c r="I624" s="456"/>
      <c r="J624" s="433"/>
      <c r="K624" s="353"/>
      <c r="L624" s="433"/>
    </row>
    <row r="625">
      <c r="A625" s="433"/>
      <c r="B625" s="456"/>
      <c r="C625" s="433"/>
      <c r="D625" s="433"/>
      <c r="E625" s="460"/>
      <c r="F625" s="351"/>
      <c r="G625" s="455"/>
      <c r="H625" s="351"/>
      <c r="I625" s="456"/>
      <c r="J625" s="433"/>
      <c r="K625" s="353"/>
      <c r="L625" s="433"/>
    </row>
    <row r="626">
      <c r="A626" s="433"/>
      <c r="B626" s="456"/>
      <c r="C626" s="433"/>
      <c r="D626" s="433"/>
      <c r="E626" s="460"/>
      <c r="F626" s="351"/>
      <c r="G626" s="455"/>
      <c r="H626" s="351"/>
      <c r="I626" s="456"/>
      <c r="J626" s="433"/>
      <c r="K626" s="353"/>
      <c r="L626" s="433"/>
    </row>
    <row r="627">
      <c r="A627" s="433"/>
      <c r="B627" s="456"/>
      <c r="C627" s="433"/>
      <c r="D627" s="433"/>
      <c r="E627" s="460"/>
      <c r="F627" s="351"/>
      <c r="G627" s="455"/>
      <c r="H627" s="351"/>
      <c r="I627" s="456"/>
      <c r="J627" s="433"/>
      <c r="K627" s="353"/>
      <c r="L627" s="433"/>
    </row>
    <row r="628">
      <c r="A628" s="433"/>
      <c r="B628" s="456"/>
      <c r="C628" s="433"/>
      <c r="D628" s="433"/>
      <c r="E628" s="460"/>
      <c r="F628" s="351"/>
      <c r="G628" s="455"/>
      <c r="H628" s="351"/>
      <c r="I628" s="456"/>
      <c r="J628" s="433"/>
      <c r="K628" s="353"/>
      <c r="L628" s="433"/>
    </row>
    <row r="629">
      <c r="A629" s="433"/>
      <c r="B629" s="456"/>
      <c r="C629" s="433"/>
      <c r="D629" s="433"/>
      <c r="E629" s="460"/>
      <c r="F629" s="351"/>
      <c r="G629" s="455"/>
      <c r="H629" s="351"/>
      <c r="I629" s="456"/>
      <c r="J629" s="433"/>
      <c r="K629" s="353"/>
      <c r="L629" s="433"/>
    </row>
    <row r="630">
      <c r="A630" s="433"/>
      <c r="B630" s="456"/>
      <c r="C630" s="433"/>
      <c r="D630" s="433"/>
      <c r="E630" s="460"/>
      <c r="F630" s="351"/>
      <c r="G630" s="455"/>
      <c r="H630" s="351"/>
      <c r="I630" s="456"/>
      <c r="J630" s="433"/>
      <c r="K630" s="353"/>
      <c r="L630" s="433"/>
    </row>
    <row r="631">
      <c r="A631" s="433"/>
      <c r="B631" s="456"/>
      <c r="C631" s="433"/>
      <c r="D631" s="433"/>
      <c r="E631" s="460"/>
      <c r="F631" s="351"/>
      <c r="G631" s="455"/>
      <c r="H631" s="351"/>
      <c r="I631" s="456"/>
      <c r="J631" s="433"/>
      <c r="K631" s="353"/>
      <c r="L631" s="433"/>
    </row>
    <row r="632">
      <c r="A632" s="433"/>
      <c r="B632" s="456"/>
      <c r="C632" s="433"/>
      <c r="D632" s="433"/>
      <c r="E632" s="460"/>
      <c r="F632" s="351"/>
      <c r="G632" s="455"/>
      <c r="H632" s="351"/>
      <c r="I632" s="456"/>
      <c r="J632" s="433"/>
      <c r="K632" s="353"/>
      <c r="L632" s="433"/>
    </row>
    <row r="633">
      <c r="A633" s="433"/>
      <c r="B633" s="456"/>
      <c r="C633" s="433"/>
      <c r="D633" s="433"/>
      <c r="E633" s="460"/>
      <c r="F633" s="351"/>
      <c r="G633" s="455"/>
      <c r="H633" s="351"/>
      <c r="I633" s="456"/>
      <c r="J633" s="433"/>
      <c r="K633" s="353"/>
      <c r="L633" s="433"/>
    </row>
    <row r="634">
      <c r="A634" s="433"/>
      <c r="B634" s="456"/>
      <c r="C634" s="433"/>
      <c r="D634" s="433"/>
      <c r="E634" s="460"/>
      <c r="F634" s="351"/>
      <c r="G634" s="455"/>
      <c r="H634" s="351"/>
      <c r="I634" s="456"/>
      <c r="J634" s="433"/>
      <c r="K634" s="353"/>
      <c r="L634" s="433"/>
    </row>
    <row r="635">
      <c r="A635" s="433"/>
      <c r="B635" s="456"/>
      <c r="C635" s="433"/>
      <c r="D635" s="433"/>
      <c r="E635" s="460"/>
      <c r="F635" s="351"/>
      <c r="G635" s="455"/>
      <c r="H635" s="351"/>
      <c r="I635" s="456"/>
      <c r="J635" s="433"/>
      <c r="K635" s="353"/>
      <c r="L635" s="433"/>
    </row>
    <row r="636">
      <c r="A636" s="433"/>
      <c r="B636" s="456"/>
      <c r="C636" s="433"/>
      <c r="D636" s="433"/>
      <c r="E636" s="460"/>
      <c r="F636" s="351"/>
      <c r="G636" s="455"/>
      <c r="H636" s="351"/>
      <c r="I636" s="456"/>
      <c r="J636" s="433"/>
      <c r="K636" s="353"/>
      <c r="L636" s="433"/>
    </row>
    <row r="637">
      <c r="A637" s="433"/>
      <c r="B637" s="456"/>
      <c r="C637" s="433"/>
      <c r="D637" s="433"/>
      <c r="E637" s="460"/>
      <c r="F637" s="351"/>
      <c r="G637" s="455"/>
      <c r="H637" s="351"/>
      <c r="I637" s="456"/>
      <c r="J637" s="433"/>
      <c r="K637" s="353"/>
      <c r="L637" s="433"/>
    </row>
    <row r="638">
      <c r="A638" s="433"/>
      <c r="B638" s="456"/>
      <c r="C638" s="433"/>
      <c r="D638" s="433"/>
      <c r="E638" s="460"/>
      <c r="F638" s="351"/>
      <c r="G638" s="455"/>
      <c r="H638" s="351"/>
      <c r="I638" s="456"/>
      <c r="J638" s="433"/>
      <c r="K638" s="353"/>
      <c r="L638" s="433"/>
    </row>
    <row r="639">
      <c r="A639" s="433"/>
      <c r="B639" s="456"/>
      <c r="C639" s="433"/>
      <c r="D639" s="433"/>
      <c r="E639" s="460"/>
      <c r="F639" s="351"/>
      <c r="G639" s="455"/>
      <c r="H639" s="351"/>
      <c r="I639" s="456"/>
      <c r="J639" s="433"/>
      <c r="K639" s="353"/>
      <c r="L639" s="433"/>
    </row>
    <row r="640">
      <c r="A640" s="433"/>
      <c r="B640" s="456"/>
      <c r="C640" s="433"/>
      <c r="D640" s="433"/>
      <c r="E640" s="460"/>
      <c r="F640" s="351"/>
      <c r="G640" s="455"/>
      <c r="H640" s="351"/>
      <c r="I640" s="456"/>
      <c r="J640" s="433"/>
      <c r="K640" s="353"/>
      <c r="L640" s="433"/>
    </row>
    <row r="641">
      <c r="A641" s="433"/>
      <c r="B641" s="456"/>
      <c r="C641" s="433"/>
      <c r="D641" s="433"/>
      <c r="E641" s="460"/>
      <c r="F641" s="351"/>
      <c r="G641" s="455"/>
      <c r="H641" s="351"/>
      <c r="I641" s="456"/>
      <c r="J641" s="433"/>
      <c r="K641" s="353"/>
      <c r="L641" s="433"/>
    </row>
    <row r="642">
      <c r="A642" s="433"/>
      <c r="B642" s="456"/>
      <c r="C642" s="433"/>
      <c r="D642" s="433"/>
      <c r="E642" s="460"/>
      <c r="F642" s="351"/>
      <c r="G642" s="455"/>
      <c r="H642" s="351"/>
      <c r="I642" s="456"/>
      <c r="J642" s="433"/>
      <c r="K642" s="353"/>
      <c r="L642" s="433"/>
    </row>
    <row r="643">
      <c r="A643" s="433"/>
      <c r="B643" s="456"/>
      <c r="C643" s="433"/>
      <c r="D643" s="433"/>
      <c r="E643" s="460"/>
      <c r="F643" s="351"/>
      <c r="G643" s="455"/>
      <c r="H643" s="351"/>
      <c r="I643" s="456"/>
      <c r="J643" s="433"/>
      <c r="K643" s="353"/>
      <c r="L643" s="433"/>
    </row>
    <row r="644">
      <c r="A644" s="433"/>
      <c r="B644" s="456"/>
      <c r="C644" s="433"/>
      <c r="D644" s="433"/>
      <c r="E644" s="460"/>
      <c r="F644" s="351"/>
      <c r="G644" s="455"/>
      <c r="H644" s="351"/>
      <c r="I644" s="456"/>
      <c r="J644" s="433"/>
      <c r="K644" s="353"/>
      <c r="L644" s="433"/>
    </row>
    <row r="645">
      <c r="A645" s="433"/>
      <c r="B645" s="456"/>
      <c r="C645" s="433"/>
      <c r="D645" s="433"/>
      <c r="E645" s="460"/>
      <c r="F645" s="351"/>
      <c r="G645" s="455"/>
      <c r="H645" s="351"/>
      <c r="I645" s="456"/>
      <c r="J645" s="433"/>
      <c r="K645" s="353"/>
      <c r="L645" s="433"/>
    </row>
    <row r="646">
      <c r="A646" s="433"/>
      <c r="B646" s="456"/>
      <c r="C646" s="433"/>
      <c r="D646" s="433"/>
      <c r="E646" s="460"/>
      <c r="F646" s="351"/>
      <c r="G646" s="455"/>
      <c r="H646" s="351"/>
      <c r="I646" s="456"/>
      <c r="J646" s="433"/>
      <c r="K646" s="353"/>
      <c r="L646" s="433"/>
    </row>
    <row r="647">
      <c r="A647" s="433"/>
      <c r="B647" s="456"/>
      <c r="C647" s="433"/>
      <c r="D647" s="433"/>
      <c r="E647" s="460"/>
      <c r="F647" s="351"/>
      <c r="G647" s="455"/>
      <c r="H647" s="351"/>
      <c r="I647" s="456"/>
      <c r="J647" s="433"/>
      <c r="K647" s="353"/>
      <c r="L647" s="433"/>
    </row>
    <row r="648">
      <c r="A648" s="433"/>
      <c r="B648" s="456"/>
      <c r="C648" s="433"/>
      <c r="D648" s="433"/>
      <c r="E648" s="460"/>
      <c r="F648" s="351"/>
      <c r="G648" s="455"/>
      <c r="H648" s="351"/>
      <c r="I648" s="456"/>
      <c r="J648" s="433"/>
      <c r="K648" s="353"/>
      <c r="L648" s="433"/>
    </row>
    <row r="649">
      <c r="A649" s="433"/>
      <c r="B649" s="456"/>
      <c r="C649" s="433"/>
      <c r="D649" s="433"/>
      <c r="E649" s="460"/>
      <c r="F649" s="351"/>
      <c r="G649" s="455"/>
      <c r="H649" s="351"/>
      <c r="I649" s="456"/>
      <c r="J649" s="433"/>
      <c r="K649" s="353"/>
      <c r="L649" s="433"/>
    </row>
    <row r="650">
      <c r="A650" s="433"/>
      <c r="B650" s="456"/>
      <c r="C650" s="433"/>
      <c r="D650" s="433"/>
      <c r="E650" s="460"/>
      <c r="F650" s="351"/>
      <c r="G650" s="455"/>
      <c r="H650" s="351"/>
      <c r="I650" s="456"/>
      <c r="J650" s="433"/>
      <c r="K650" s="353"/>
      <c r="L650" s="433"/>
    </row>
    <row r="651">
      <c r="A651" s="433"/>
      <c r="B651" s="456"/>
      <c r="C651" s="433"/>
      <c r="D651" s="433"/>
      <c r="E651" s="460"/>
      <c r="F651" s="351"/>
      <c r="G651" s="455"/>
      <c r="H651" s="351"/>
      <c r="I651" s="456"/>
      <c r="J651" s="433"/>
      <c r="K651" s="353"/>
      <c r="L651" s="433"/>
    </row>
    <row r="652">
      <c r="A652" s="433"/>
      <c r="B652" s="456"/>
      <c r="C652" s="433"/>
      <c r="D652" s="433"/>
      <c r="E652" s="460"/>
      <c r="F652" s="351"/>
      <c r="G652" s="455"/>
      <c r="H652" s="351"/>
      <c r="I652" s="456"/>
      <c r="J652" s="433"/>
      <c r="K652" s="353"/>
      <c r="L652" s="433"/>
    </row>
    <row r="653">
      <c r="A653" s="433"/>
      <c r="B653" s="456"/>
      <c r="C653" s="433"/>
      <c r="D653" s="433"/>
      <c r="E653" s="460"/>
      <c r="F653" s="351"/>
      <c r="G653" s="455"/>
      <c r="H653" s="351"/>
      <c r="I653" s="456"/>
      <c r="J653" s="433"/>
      <c r="K653" s="353"/>
      <c r="L653" s="433"/>
    </row>
    <row r="654">
      <c r="A654" s="433"/>
      <c r="B654" s="456"/>
      <c r="C654" s="433"/>
      <c r="D654" s="433"/>
      <c r="E654" s="460"/>
      <c r="F654" s="351"/>
      <c r="G654" s="455"/>
      <c r="H654" s="351"/>
      <c r="I654" s="456"/>
      <c r="J654" s="433"/>
      <c r="K654" s="353"/>
      <c r="L654" s="433"/>
    </row>
    <row r="655">
      <c r="A655" s="433"/>
      <c r="B655" s="456"/>
      <c r="C655" s="433"/>
      <c r="D655" s="433"/>
      <c r="E655" s="460"/>
      <c r="F655" s="351"/>
      <c r="G655" s="455"/>
      <c r="H655" s="351"/>
      <c r="I655" s="456"/>
      <c r="J655" s="433"/>
      <c r="K655" s="353"/>
      <c r="L655" s="433"/>
    </row>
    <row r="656">
      <c r="A656" s="433"/>
      <c r="B656" s="456"/>
      <c r="C656" s="433"/>
      <c r="D656" s="433"/>
      <c r="E656" s="460"/>
      <c r="F656" s="351"/>
      <c r="G656" s="455"/>
      <c r="H656" s="351"/>
      <c r="I656" s="456"/>
      <c r="J656" s="433"/>
      <c r="K656" s="353"/>
      <c r="L656" s="433"/>
    </row>
    <row r="657">
      <c r="A657" s="433"/>
      <c r="B657" s="456"/>
      <c r="C657" s="433"/>
      <c r="D657" s="433"/>
      <c r="E657" s="460"/>
      <c r="F657" s="351"/>
      <c r="G657" s="455"/>
      <c r="H657" s="351"/>
      <c r="I657" s="456"/>
      <c r="J657" s="433"/>
      <c r="K657" s="353"/>
      <c r="L657" s="433"/>
    </row>
    <row r="658">
      <c r="A658" s="433"/>
      <c r="B658" s="456"/>
      <c r="C658" s="433"/>
      <c r="D658" s="433"/>
      <c r="E658" s="460"/>
      <c r="F658" s="351"/>
      <c r="G658" s="455"/>
      <c r="H658" s="351"/>
      <c r="I658" s="456"/>
      <c r="J658" s="433"/>
      <c r="K658" s="353"/>
      <c r="L658" s="433"/>
    </row>
    <row r="659">
      <c r="A659" s="433"/>
      <c r="B659" s="456"/>
      <c r="C659" s="433"/>
      <c r="D659" s="433"/>
      <c r="E659" s="460"/>
      <c r="F659" s="351"/>
      <c r="G659" s="455"/>
      <c r="H659" s="351"/>
      <c r="I659" s="456"/>
      <c r="J659" s="433"/>
      <c r="K659" s="353"/>
      <c r="L659" s="433"/>
    </row>
    <row r="660">
      <c r="A660" s="433"/>
      <c r="B660" s="456"/>
      <c r="C660" s="433"/>
      <c r="D660" s="433"/>
      <c r="E660" s="460"/>
      <c r="F660" s="351"/>
      <c r="G660" s="455"/>
      <c r="H660" s="351"/>
      <c r="I660" s="456"/>
      <c r="J660" s="433"/>
      <c r="K660" s="353"/>
      <c r="L660" s="433"/>
    </row>
    <row r="661">
      <c r="A661" s="433"/>
      <c r="B661" s="456"/>
      <c r="C661" s="433"/>
      <c r="D661" s="433"/>
      <c r="E661" s="460"/>
      <c r="F661" s="351"/>
      <c r="G661" s="455"/>
      <c r="H661" s="351"/>
      <c r="I661" s="456"/>
      <c r="J661" s="433"/>
      <c r="K661" s="353"/>
      <c r="L661" s="433"/>
    </row>
    <row r="662">
      <c r="A662" s="433"/>
      <c r="B662" s="456"/>
      <c r="C662" s="433"/>
      <c r="D662" s="433"/>
      <c r="E662" s="460"/>
      <c r="F662" s="351"/>
      <c r="G662" s="455"/>
      <c r="H662" s="351"/>
      <c r="I662" s="456"/>
      <c r="J662" s="433"/>
      <c r="K662" s="353"/>
      <c r="L662" s="433"/>
    </row>
    <row r="663">
      <c r="A663" s="433"/>
      <c r="B663" s="456"/>
      <c r="C663" s="433"/>
      <c r="D663" s="433"/>
      <c r="E663" s="460"/>
      <c r="F663" s="351"/>
      <c r="G663" s="455"/>
      <c r="H663" s="351"/>
      <c r="I663" s="456"/>
      <c r="J663" s="433"/>
      <c r="K663" s="353"/>
      <c r="L663" s="433"/>
    </row>
    <row r="664">
      <c r="A664" s="433"/>
      <c r="B664" s="456"/>
      <c r="C664" s="433"/>
      <c r="D664" s="433"/>
      <c r="E664" s="460"/>
      <c r="F664" s="351"/>
      <c r="G664" s="455"/>
      <c r="H664" s="351"/>
      <c r="I664" s="456"/>
      <c r="J664" s="433"/>
      <c r="K664" s="353"/>
      <c r="L664" s="433"/>
    </row>
    <row r="665">
      <c r="A665" s="433"/>
      <c r="B665" s="456"/>
      <c r="C665" s="433"/>
      <c r="D665" s="433"/>
      <c r="E665" s="460"/>
      <c r="F665" s="351"/>
      <c r="G665" s="455"/>
      <c r="H665" s="351"/>
      <c r="I665" s="456"/>
      <c r="J665" s="433"/>
      <c r="K665" s="353"/>
      <c r="L665" s="433"/>
    </row>
    <row r="666">
      <c r="A666" s="433"/>
      <c r="B666" s="456"/>
      <c r="C666" s="433"/>
      <c r="D666" s="433"/>
      <c r="E666" s="460"/>
      <c r="F666" s="351"/>
      <c r="G666" s="455"/>
      <c r="H666" s="351"/>
      <c r="I666" s="456"/>
      <c r="J666" s="433"/>
      <c r="K666" s="353"/>
      <c r="L666" s="433"/>
    </row>
    <row r="667">
      <c r="A667" s="433"/>
      <c r="B667" s="456"/>
      <c r="C667" s="433"/>
      <c r="D667" s="433"/>
      <c r="E667" s="460"/>
      <c r="F667" s="351"/>
      <c r="G667" s="455"/>
      <c r="H667" s="351"/>
      <c r="I667" s="456"/>
      <c r="J667" s="433"/>
      <c r="K667" s="353"/>
      <c r="L667" s="433"/>
    </row>
    <row r="668">
      <c r="A668" s="433"/>
      <c r="B668" s="456"/>
      <c r="C668" s="433"/>
      <c r="D668" s="433"/>
      <c r="E668" s="460"/>
      <c r="F668" s="351"/>
      <c r="G668" s="455"/>
      <c r="H668" s="351"/>
      <c r="I668" s="456"/>
      <c r="J668" s="433"/>
      <c r="K668" s="353"/>
      <c r="L668" s="433"/>
    </row>
    <row r="669">
      <c r="A669" s="433"/>
      <c r="B669" s="456"/>
      <c r="C669" s="433"/>
      <c r="D669" s="433"/>
      <c r="E669" s="460"/>
      <c r="F669" s="351"/>
      <c r="G669" s="455"/>
      <c r="H669" s="351"/>
      <c r="I669" s="456"/>
      <c r="J669" s="433"/>
      <c r="K669" s="353"/>
      <c r="L669" s="433"/>
    </row>
    <row r="670">
      <c r="A670" s="433"/>
      <c r="B670" s="456"/>
      <c r="C670" s="433"/>
      <c r="D670" s="433"/>
      <c r="E670" s="460"/>
      <c r="F670" s="351"/>
      <c r="G670" s="455"/>
      <c r="H670" s="351"/>
      <c r="I670" s="456"/>
      <c r="J670" s="433"/>
      <c r="K670" s="353"/>
      <c r="L670" s="433"/>
    </row>
    <row r="671">
      <c r="A671" s="433"/>
      <c r="B671" s="456"/>
      <c r="C671" s="433"/>
      <c r="D671" s="433"/>
      <c r="E671" s="460"/>
      <c r="F671" s="351"/>
      <c r="G671" s="455"/>
      <c r="H671" s="351"/>
      <c r="I671" s="456"/>
      <c r="J671" s="433"/>
      <c r="K671" s="353"/>
      <c r="L671" s="433"/>
    </row>
    <row r="672">
      <c r="A672" s="433"/>
      <c r="B672" s="456"/>
      <c r="C672" s="433"/>
      <c r="D672" s="433"/>
      <c r="E672" s="460"/>
      <c r="F672" s="351"/>
      <c r="G672" s="455"/>
      <c r="H672" s="351"/>
      <c r="I672" s="456"/>
      <c r="J672" s="433"/>
      <c r="K672" s="353"/>
      <c r="L672" s="433"/>
    </row>
    <row r="673">
      <c r="A673" s="433"/>
      <c r="B673" s="456"/>
      <c r="C673" s="433"/>
      <c r="D673" s="433"/>
      <c r="E673" s="460"/>
      <c r="F673" s="351"/>
      <c r="G673" s="455"/>
      <c r="H673" s="351"/>
      <c r="I673" s="456"/>
      <c r="J673" s="433"/>
      <c r="K673" s="353"/>
      <c r="L673" s="433"/>
    </row>
    <row r="674">
      <c r="A674" s="433"/>
      <c r="B674" s="456"/>
      <c r="C674" s="433"/>
      <c r="D674" s="433"/>
      <c r="E674" s="460"/>
      <c r="F674" s="351"/>
      <c r="G674" s="455"/>
      <c r="H674" s="351"/>
      <c r="I674" s="456"/>
      <c r="J674" s="433"/>
      <c r="K674" s="353"/>
      <c r="L674" s="433"/>
    </row>
    <row r="675">
      <c r="A675" s="433"/>
      <c r="B675" s="456"/>
      <c r="C675" s="433"/>
      <c r="D675" s="433"/>
      <c r="E675" s="460"/>
      <c r="F675" s="351"/>
      <c r="G675" s="455"/>
      <c r="H675" s="351"/>
      <c r="I675" s="456"/>
      <c r="J675" s="433"/>
      <c r="K675" s="353"/>
      <c r="L675" s="433"/>
    </row>
    <row r="676">
      <c r="A676" s="433"/>
      <c r="B676" s="456"/>
      <c r="C676" s="433"/>
      <c r="D676" s="433"/>
      <c r="E676" s="460"/>
      <c r="F676" s="351"/>
      <c r="G676" s="455"/>
      <c r="H676" s="351"/>
      <c r="I676" s="456"/>
      <c r="J676" s="433"/>
      <c r="K676" s="353"/>
      <c r="L676" s="433"/>
    </row>
    <row r="677">
      <c r="A677" s="433"/>
      <c r="B677" s="456"/>
      <c r="C677" s="433"/>
      <c r="D677" s="433"/>
      <c r="E677" s="460"/>
      <c r="F677" s="351"/>
      <c r="G677" s="455"/>
      <c r="H677" s="351"/>
      <c r="I677" s="456"/>
      <c r="J677" s="433"/>
      <c r="K677" s="353"/>
      <c r="L677" s="433"/>
    </row>
    <row r="678">
      <c r="A678" s="433"/>
      <c r="B678" s="456"/>
      <c r="C678" s="433"/>
      <c r="D678" s="433"/>
      <c r="E678" s="460"/>
      <c r="F678" s="351"/>
      <c r="G678" s="455"/>
      <c r="H678" s="351"/>
      <c r="I678" s="456"/>
      <c r="J678" s="433"/>
      <c r="K678" s="353"/>
      <c r="L678" s="433"/>
    </row>
    <row r="679">
      <c r="A679" s="433"/>
      <c r="B679" s="456"/>
      <c r="C679" s="433"/>
      <c r="D679" s="433"/>
      <c r="E679" s="460"/>
      <c r="F679" s="351"/>
      <c r="G679" s="455"/>
      <c r="H679" s="351"/>
      <c r="I679" s="456"/>
      <c r="J679" s="433"/>
      <c r="K679" s="353"/>
      <c r="L679" s="433"/>
    </row>
    <row r="680">
      <c r="A680" s="433"/>
      <c r="B680" s="456"/>
      <c r="C680" s="433"/>
      <c r="D680" s="433"/>
      <c r="E680" s="460"/>
      <c r="F680" s="351"/>
      <c r="G680" s="455"/>
      <c r="H680" s="351"/>
      <c r="I680" s="456"/>
      <c r="J680" s="433"/>
      <c r="K680" s="353"/>
      <c r="L680" s="433"/>
    </row>
    <row r="681">
      <c r="A681" s="433"/>
      <c r="B681" s="456"/>
      <c r="C681" s="433"/>
      <c r="D681" s="433"/>
      <c r="E681" s="460"/>
      <c r="F681" s="351"/>
      <c r="G681" s="455"/>
      <c r="H681" s="351"/>
      <c r="I681" s="456"/>
      <c r="J681" s="433"/>
      <c r="K681" s="353"/>
      <c r="L681" s="433"/>
    </row>
    <row r="682">
      <c r="A682" s="433"/>
      <c r="B682" s="456"/>
      <c r="C682" s="433"/>
      <c r="D682" s="433"/>
      <c r="E682" s="460"/>
      <c r="F682" s="351"/>
      <c r="G682" s="455"/>
      <c r="H682" s="351"/>
      <c r="I682" s="456"/>
      <c r="J682" s="433"/>
      <c r="K682" s="353"/>
      <c r="L682" s="433"/>
    </row>
    <row r="683">
      <c r="A683" s="433"/>
      <c r="B683" s="456"/>
      <c r="C683" s="433"/>
      <c r="D683" s="433"/>
      <c r="E683" s="460"/>
      <c r="F683" s="351"/>
      <c r="G683" s="455"/>
      <c r="H683" s="351"/>
      <c r="I683" s="456"/>
      <c r="J683" s="433"/>
      <c r="K683" s="353"/>
      <c r="L683" s="433"/>
    </row>
    <row r="684">
      <c r="A684" s="433"/>
      <c r="B684" s="456"/>
      <c r="C684" s="433"/>
      <c r="D684" s="433"/>
      <c r="E684" s="460"/>
      <c r="F684" s="351"/>
      <c r="G684" s="455"/>
      <c r="H684" s="351"/>
      <c r="I684" s="456"/>
      <c r="J684" s="433"/>
      <c r="K684" s="353"/>
      <c r="L684" s="433"/>
    </row>
    <row r="685">
      <c r="A685" s="433"/>
      <c r="B685" s="456"/>
      <c r="C685" s="433"/>
      <c r="D685" s="433"/>
      <c r="E685" s="460"/>
      <c r="F685" s="351"/>
      <c r="G685" s="455"/>
      <c r="H685" s="351"/>
      <c r="I685" s="456"/>
      <c r="J685" s="433"/>
      <c r="K685" s="353"/>
      <c r="L685" s="433"/>
    </row>
    <row r="686">
      <c r="A686" s="433"/>
      <c r="B686" s="456"/>
      <c r="C686" s="433"/>
      <c r="D686" s="433"/>
      <c r="E686" s="460"/>
      <c r="F686" s="351"/>
      <c r="G686" s="455"/>
      <c r="H686" s="351"/>
      <c r="I686" s="456"/>
      <c r="J686" s="433"/>
      <c r="K686" s="353"/>
      <c r="L686" s="433"/>
    </row>
    <row r="687">
      <c r="A687" s="433"/>
      <c r="B687" s="456"/>
      <c r="C687" s="433"/>
      <c r="D687" s="433"/>
      <c r="E687" s="460"/>
      <c r="F687" s="351"/>
      <c r="G687" s="455"/>
      <c r="H687" s="351"/>
      <c r="I687" s="456"/>
      <c r="J687" s="433"/>
      <c r="K687" s="353"/>
      <c r="L687" s="433"/>
    </row>
    <row r="688">
      <c r="A688" s="433"/>
      <c r="B688" s="456"/>
      <c r="C688" s="433"/>
      <c r="D688" s="433"/>
      <c r="E688" s="460"/>
      <c r="F688" s="351"/>
      <c r="G688" s="455"/>
      <c r="H688" s="351"/>
      <c r="I688" s="456"/>
      <c r="J688" s="433"/>
      <c r="K688" s="353"/>
      <c r="L688" s="433"/>
    </row>
    <row r="689">
      <c r="A689" s="433"/>
      <c r="B689" s="456"/>
      <c r="C689" s="433"/>
      <c r="D689" s="433"/>
      <c r="E689" s="460"/>
      <c r="F689" s="351"/>
      <c r="G689" s="455"/>
      <c r="H689" s="351"/>
      <c r="I689" s="456"/>
      <c r="J689" s="433"/>
      <c r="K689" s="353"/>
      <c r="L689" s="433"/>
    </row>
    <row r="690">
      <c r="A690" s="433"/>
      <c r="B690" s="456"/>
      <c r="C690" s="433"/>
      <c r="D690" s="433"/>
      <c r="E690" s="460"/>
      <c r="F690" s="351"/>
      <c r="G690" s="455"/>
      <c r="H690" s="351"/>
      <c r="I690" s="456"/>
      <c r="J690" s="433"/>
      <c r="K690" s="353"/>
      <c r="L690" s="433"/>
    </row>
    <row r="691">
      <c r="A691" s="433"/>
      <c r="B691" s="456"/>
      <c r="C691" s="433"/>
      <c r="D691" s="433"/>
      <c r="E691" s="460"/>
      <c r="F691" s="351"/>
      <c r="G691" s="455"/>
      <c r="H691" s="351"/>
      <c r="I691" s="456"/>
      <c r="J691" s="433"/>
      <c r="K691" s="353"/>
      <c r="L691" s="433"/>
    </row>
    <row r="692">
      <c r="A692" s="433"/>
      <c r="B692" s="456"/>
      <c r="C692" s="433"/>
      <c r="D692" s="433"/>
      <c r="E692" s="460"/>
      <c r="F692" s="351"/>
      <c r="G692" s="455"/>
      <c r="H692" s="351"/>
      <c r="I692" s="456"/>
      <c r="J692" s="433"/>
      <c r="K692" s="353"/>
      <c r="L692" s="433"/>
    </row>
    <row r="693">
      <c r="A693" s="433"/>
      <c r="B693" s="456"/>
      <c r="C693" s="433"/>
      <c r="D693" s="433"/>
      <c r="E693" s="460"/>
      <c r="F693" s="351"/>
      <c r="G693" s="455"/>
      <c r="H693" s="351"/>
      <c r="I693" s="456"/>
      <c r="J693" s="433"/>
      <c r="K693" s="353"/>
      <c r="L693" s="433"/>
    </row>
    <row r="694">
      <c r="A694" s="433"/>
      <c r="B694" s="456"/>
      <c r="C694" s="433"/>
      <c r="D694" s="433"/>
      <c r="E694" s="460"/>
      <c r="F694" s="351"/>
      <c r="G694" s="455"/>
      <c r="H694" s="351"/>
      <c r="I694" s="456"/>
      <c r="J694" s="433"/>
      <c r="K694" s="353"/>
      <c r="L694" s="433"/>
    </row>
    <row r="695">
      <c r="A695" s="433"/>
      <c r="B695" s="456"/>
      <c r="C695" s="433"/>
      <c r="D695" s="433"/>
      <c r="E695" s="460"/>
      <c r="F695" s="351"/>
      <c r="G695" s="455"/>
      <c r="H695" s="351"/>
      <c r="I695" s="456"/>
      <c r="J695" s="433"/>
      <c r="K695" s="353"/>
      <c r="L695" s="433"/>
    </row>
    <row r="696">
      <c r="A696" s="433"/>
      <c r="B696" s="456"/>
      <c r="C696" s="433"/>
      <c r="D696" s="433"/>
      <c r="E696" s="460"/>
      <c r="F696" s="351"/>
      <c r="G696" s="455"/>
      <c r="H696" s="351"/>
      <c r="I696" s="456"/>
      <c r="J696" s="433"/>
      <c r="K696" s="353"/>
      <c r="L696" s="433"/>
    </row>
    <row r="697">
      <c r="A697" s="433"/>
      <c r="B697" s="456"/>
      <c r="C697" s="433"/>
      <c r="D697" s="433"/>
      <c r="E697" s="460"/>
      <c r="F697" s="351"/>
      <c r="G697" s="455"/>
      <c r="H697" s="351"/>
      <c r="I697" s="456"/>
      <c r="J697" s="433"/>
      <c r="K697" s="353"/>
      <c r="L697" s="433"/>
    </row>
    <row r="698">
      <c r="A698" s="433"/>
      <c r="B698" s="456"/>
      <c r="C698" s="433"/>
      <c r="D698" s="433"/>
      <c r="E698" s="460"/>
      <c r="F698" s="351"/>
      <c r="G698" s="455"/>
      <c r="H698" s="351"/>
      <c r="I698" s="456"/>
      <c r="J698" s="433"/>
      <c r="K698" s="353"/>
      <c r="L698" s="433"/>
    </row>
    <row r="699">
      <c r="A699" s="433"/>
      <c r="B699" s="456"/>
      <c r="C699" s="433"/>
      <c r="D699" s="433"/>
      <c r="E699" s="460"/>
      <c r="F699" s="351"/>
      <c r="G699" s="455"/>
      <c r="H699" s="351"/>
      <c r="I699" s="456"/>
      <c r="J699" s="433"/>
      <c r="K699" s="353"/>
      <c r="L699" s="433"/>
    </row>
    <row r="700">
      <c r="A700" s="433"/>
      <c r="B700" s="456"/>
      <c r="C700" s="433"/>
      <c r="D700" s="433"/>
      <c r="E700" s="460"/>
      <c r="F700" s="351"/>
      <c r="G700" s="455"/>
      <c r="H700" s="351"/>
      <c r="I700" s="456"/>
      <c r="J700" s="433"/>
      <c r="K700" s="353"/>
      <c r="L700" s="433"/>
    </row>
    <row r="701">
      <c r="A701" s="433"/>
      <c r="B701" s="456"/>
      <c r="C701" s="433"/>
      <c r="D701" s="433"/>
      <c r="E701" s="460"/>
      <c r="F701" s="351"/>
      <c r="G701" s="455"/>
      <c r="H701" s="351"/>
      <c r="I701" s="456"/>
      <c r="J701" s="433"/>
      <c r="K701" s="353"/>
      <c r="L701" s="433"/>
    </row>
    <row r="702">
      <c r="A702" s="433"/>
      <c r="B702" s="456"/>
      <c r="C702" s="433"/>
      <c r="D702" s="433"/>
      <c r="E702" s="460"/>
      <c r="F702" s="351"/>
      <c r="G702" s="455"/>
      <c r="H702" s="351"/>
      <c r="I702" s="456"/>
      <c r="J702" s="433"/>
      <c r="K702" s="353"/>
      <c r="L702" s="433"/>
    </row>
    <row r="703">
      <c r="A703" s="433"/>
      <c r="B703" s="456"/>
      <c r="C703" s="433"/>
      <c r="D703" s="433"/>
      <c r="E703" s="460"/>
      <c r="F703" s="351"/>
      <c r="G703" s="455"/>
      <c r="H703" s="351"/>
      <c r="I703" s="456"/>
      <c r="J703" s="433"/>
      <c r="K703" s="353"/>
      <c r="L703" s="433"/>
    </row>
    <row r="704">
      <c r="A704" s="433"/>
      <c r="B704" s="456"/>
      <c r="C704" s="433"/>
      <c r="D704" s="433"/>
      <c r="E704" s="460"/>
      <c r="F704" s="351"/>
      <c r="G704" s="455"/>
      <c r="H704" s="351"/>
      <c r="I704" s="456"/>
      <c r="J704" s="433"/>
      <c r="K704" s="353"/>
      <c r="L704" s="433"/>
    </row>
    <row r="705">
      <c r="A705" s="433"/>
      <c r="B705" s="456"/>
      <c r="C705" s="433"/>
      <c r="D705" s="433"/>
      <c r="E705" s="460"/>
      <c r="F705" s="351"/>
      <c r="G705" s="455"/>
      <c r="H705" s="351"/>
      <c r="I705" s="456"/>
      <c r="J705" s="433"/>
      <c r="K705" s="353"/>
      <c r="L705" s="433"/>
    </row>
    <row r="706">
      <c r="A706" s="433"/>
      <c r="B706" s="456"/>
      <c r="C706" s="433"/>
      <c r="D706" s="433"/>
      <c r="E706" s="460"/>
      <c r="F706" s="351"/>
      <c r="G706" s="455"/>
      <c r="H706" s="351"/>
      <c r="I706" s="456"/>
      <c r="J706" s="433"/>
      <c r="K706" s="353"/>
      <c r="L706" s="433"/>
    </row>
    <row r="707">
      <c r="A707" s="433"/>
      <c r="B707" s="456"/>
      <c r="C707" s="433"/>
      <c r="D707" s="433"/>
      <c r="E707" s="460"/>
      <c r="F707" s="351"/>
      <c r="G707" s="455"/>
      <c r="H707" s="351"/>
      <c r="I707" s="456"/>
      <c r="J707" s="433"/>
      <c r="K707" s="353"/>
      <c r="L707" s="433"/>
    </row>
    <row r="708">
      <c r="A708" s="433"/>
      <c r="B708" s="456"/>
      <c r="C708" s="433"/>
      <c r="D708" s="433"/>
      <c r="E708" s="460"/>
      <c r="F708" s="351"/>
      <c r="G708" s="455"/>
      <c r="H708" s="351"/>
      <c r="I708" s="456"/>
      <c r="J708" s="433"/>
      <c r="K708" s="353"/>
      <c r="L708" s="433"/>
    </row>
    <row r="709">
      <c r="A709" s="433"/>
      <c r="B709" s="456"/>
      <c r="C709" s="433"/>
      <c r="D709" s="433"/>
      <c r="E709" s="460"/>
      <c r="F709" s="351"/>
      <c r="G709" s="455"/>
      <c r="H709" s="351"/>
      <c r="I709" s="456"/>
      <c r="J709" s="433"/>
      <c r="K709" s="353"/>
      <c r="L709" s="433"/>
    </row>
    <row r="710">
      <c r="A710" s="433"/>
      <c r="B710" s="456"/>
      <c r="C710" s="433"/>
      <c r="D710" s="433"/>
      <c r="E710" s="460"/>
      <c r="F710" s="351"/>
      <c r="G710" s="455"/>
      <c r="H710" s="351"/>
      <c r="I710" s="456"/>
      <c r="J710" s="433"/>
      <c r="K710" s="353"/>
      <c r="L710" s="433"/>
    </row>
    <row r="711">
      <c r="A711" s="433"/>
      <c r="B711" s="456"/>
      <c r="C711" s="433"/>
      <c r="D711" s="433"/>
      <c r="E711" s="460"/>
      <c r="F711" s="351"/>
      <c r="G711" s="455"/>
      <c r="H711" s="351"/>
      <c r="I711" s="456"/>
      <c r="J711" s="433"/>
      <c r="K711" s="353"/>
      <c r="L711" s="433"/>
    </row>
    <row r="712">
      <c r="A712" s="433"/>
      <c r="B712" s="456"/>
      <c r="C712" s="433"/>
      <c r="D712" s="433"/>
      <c r="E712" s="460"/>
      <c r="F712" s="351"/>
      <c r="G712" s="455"/>
      <c r="H712" s="351"/>
      <c r="I712" s="456"/>
      <c r="J712" s="433"/>
      <c r="K712" s="353"/>
      <c r="L712" s="433"/>
    </row>
    <row r="713">
      <c r="A713" s="433"/>
      <c r="B713" s="456"/>
      <c r="C713" s="433"/>
      <c r="D713" s="433"/>
      <c r="E713" s="460"/>
      <c r="F713" s="351"/>
      <c r="G713" s="455"/>
      <c r="H713" s="351"/>
      <c r="I713" s="456"/>
      <c r="J713" s="433"/>
      <c r="K713" s="353"/>
      <c r="L713" s="433"/>
    </row>
    <row r="714">
      <c r="A714" s="433"/>
      <c r="B714" s="456"/>
      <c r="C714" s="433"/>
      <c r="D714" s="433"/>
      <c r="E714" s="460"/>
      <c r="F714" s="351"/>
      <c r="G714" s="455"/>
      <c r="H714" s="351"/>
      <c r="I714" s="456"/>
      <c r="J714" s="433"/>
      <c r="K714" s="353"/>
      <c r="L714" s="433"/>
    </row>
    <row r="715">
      <c r="A715" s="433"/>
      <c r="B715" s="456"/>
      <c r="C715" s="433"/>
      <c r="D715" s="433"/>
      <c r="E715" s="460"/>
      <c r="F715" s="351"/>
      <c r="G715" s="455"/>
      <c r="H715" s="351"/>
      <c r="I715" s="456"/>
      <c r="J715" s="433"/>
      <c r="K715" s="353"/>
      <c r="L715" s="433"/>
    </row>
    <row r="716">
      <c r="A716" s="433"/>
      <c r="B716" s="456"/>
      <c r="C716" s="433"/>
      <c r="D716" s="433"/>
      <c r="E716" s="460"/>
      <c r="F716" s="351"/>
      <c r="G716" s="455"/>
      <c r="H716" s="351"/>
      <c r="I716" s="456"/>
      <c r="J716" s="433"/>
      <c r="K716" s="353"/>
      <c r="L716" s="433"/>
    </row>
    <row r="717">
      <c r="A717" s="433"/>
      <c r="B717" s="456"/>
      <c r="C717" s="433"/>
      <c r="D717" s="433"/>
      <c r="E717" s="460"/>
      <c r="F717" s="351"/>
      <c r="G717" s="455"/>
      <c r="H717" s="351"/>
      <c r="I717" s="456"/>
      <c r="J717" s="433"/>
      <c r="K717" s="353"/>
      <c r="L717" s="433"/>
    </row>
    <row r="718">
      <c r="A718" s="433"/>
      <c r="B718" s="456"/>
      <c r="C718" s="433"/>
      <c r="D718" s="433"/>
      <c r="E718" s="460"/>
      <c r="F718" s="351"/>
      <c r="G718" s="455"/>
      <c r="H718" s="351"/>
      <c r="I718" s="456"/>
      <c r="J718" s="433"/>
      <c r="K718" s="353"/>
      <c r="L718" s="433"/>
    </row>
    <row r="719">
      <c r="A719" s="433"/>
      <c r="B719" s="456"/>
      <c r="C719" s="433"/>
      <c r="D719" s="433"/>
      <c r="E719" s="460"/>
      <c r="F719" s="351"/>
      <c r="G719" s="455"/>
      <c r="H719" s="351"/>
      <c r="I719" s="456"/>
      <c r="J719" s="433"/>
      <c r="K719" s="353"/>
      <c r="L719" s="433"/>
    </row>
    <row r="720">
      <c r="A720" s="433"/>
      <c r="B720" s="456"/>
      <c r="C720" s="433"/>
      <c r="D720" s="433"/>
      <c r="E720" s="460"/>
      <c r="F720" s="351"/>
      <c r="G720" s="455"/>
      <c r="H720" s="351"/>
      <c r="I720" s="456"/>
      <c r="J720" s="433"/>
      <c r="K720" s="353"/>
      <c r="L720" s="433"/>
    </row>
    <row r="721">
      <c r="A721" s="433"/>
      <c r="B721" s="456"/>
      <c r="C721" s="433"/>
      <c r="D721" s="433"/>
      <c r="E721" s="460"/>
      <c r="F721" s="351"/>
      <c r="G721" s="455"/>
      <c r="H721" s="351"/>
      <c r="I721" s="456"/>
      <c r="J721" s="433"/>
      <c r="K721" s="353"/>
      <c r="L721" s="433"/>
    </row>
    <row r="722">
      <c r="A722" s="433"/>
      <c r="B722" s="456"/>
      <c r="C722" s="433"/>
      <c r="D722" s="433"/>
      <c r="E722" s="460"/>
      <c r="F722" s="351"/>
      <c r="G722" s="455"/>
      <c r="H722" s="351"/>
      <c r="I722" s="456"/>
      <c r="J722" s="433"/>
      <c r="K722" s="353"/>
      <c r="L722" s="433"/>
    </row>
    <row r="723">
      <c r="A723" s="433"/>
      <c r="B723" s="456"/>
      <c r="C723" s="433"/>
      <c r="D723" s="433"/>
      <c r="E723" s="460"/>
      <c r="F723" s="351"/>
      <c r="G723" s="455"/>
      <c r="H723" s="351"/>
      <c r="I723" s="456"/>
      <c r="J723" s="433"/>
      <c r="K723" s="353"/>
      <c r="L723" s="433"/>
    </row>
    <row r="724">
      <c r="A724" s="433"/>
      <c r="B724" s="456"/>
      <c r="C724" s="433"/>
      <c r="D724" s="433"/>
      <c r="E724" s="460"/>
      <c r="F724" s="351"/>
      <c r="G724" s="455"/>
      <c r="H724" s="351"/>
      <c r="I724" s="456"/>
      <c r="J724" s="433"/>
      <c r="K724" s="353"/>
      <c r="L724" s="433"/>
    </row>
    <row r="725">
      <c r="A725" s="433"/>
      <c r="B725" s="456"/>
      <c r="C725" s="433"/>
      <c r="D725" s="433"/>
      <c r="E725" s="460"/>
      <c r="F725" s="351"/>
      <c r="G725" s="455"/>
      <c r="H725" s="351"/>
      <c r="I725" s="456"/>
      <c r="J725" s="433"/>
      <c r="K725" s="353"/>
      <c r="L725" s="433"/>
    </row>
    <row r="726">
      <c r="A726" s="433"/>
      <c r="B726" s="456"/>
      <c r="C726" s="433"/>
      <c r="D726" s="433"/>
      <c r="E726" s="460"/>
      <c r="F726" s="351"/>
      <c r="G726" s="455"/>
      <c r="H726" s="351"/>
      <c r="I726" s="456"/>
      <c r="J726" s="433"/>
      <c r="K726" s="353"/>
      <c r="L726" s="433"/>
    </row>
    <row r="727">
      <c r="A727" s="433"/>
      <c r="B727" s="456"/>
      <c r="C727" s="433"/>
      <c r="D727" s="433"/>
      <c r="E727" s="460"/>
      <c r="F727" s="351"/>
      <c r="G727" s="455"/>
      <c r="H727" s="351"/>
      <c r="I727" s="456"/>
      <c r="J727" s="433"/>
      <c r="K727" s="353"/>
      <c r="L727" s="433"/>
    </row>
    <row r="728">
      <c r="A728" s="433"/>
      <c r="B728" s="456"/>
      <c r="C728" s="433"/>
      <c r="D728" s="433"/>
      <c r="E728" s="460"/>
      <c r="F728" s="351"/>
      <c r="G728" s="455"/>
      <c r="H728" s="351"/>
      <c r="I728" s="456"/>
      <c r="J728" s="433"/>
      <c r="K728" s="353"/>
      <c r="L728" s="433"/>
    </row>
    <row r="729">
      <c r="A729" s="433"/>
      <c r="B729" s="456"/>
      <c r="C729" s="433"/>
      <c r="D729" s="433"/>
      <c r="E729" s="460"/>
      <c r="F729" s="351"/>
      <c r="G729" s="455"/>
      <c r="H729" s="351"/>
      <c r="I729" s="456"/>
      <c r="J729" s="433"/>
      <c r="K729" s="353"/>
      <c r="L729" s="433"/>
    </row>
    <row r="730">
      <c r="A730" s="433"/>
      <c r="B730" s="456"/>
      <c r="C730" s="433"/>
      <c r="D730" s="433"/>
      <c r="E730" s="460"/>
      <c r="F730" s="351"/>
      <c r="G730" s="455"/>
      <c r="H730" s="351"/>
      <c r="I730" s="456"/>
      <c r="J730" s="433"/>
      <c r="K730" s="353"/>
      <c r="L730" s="433"/>
    </row>
    <row r="731">
      <c r="A731" s="433"/>
      <c r="B731" s="456"/>
      <c r="C731" s="433"/>
      <c r="D731" s="433"/>
      <c r="E731" s="460"/>
      <c r="F731" s="351"/>
      <c r="G731" s="455"/>
      <c r="H731" s="351"/>
      <c r="I731" s="456"/>
      <c r="J731" s="433"/>
      <c r="K731" s="353"/>
      <c r="L731" s="433"/>
    </row>
    <row r="732">
      <c r="A732" s="433"/>
      <c r="B732" s="456"/>
      <c r="C732" s="433"/>
      <c r="D732" s="433"/>
      <c r="E732" s="460"/>
      <c r="F732" s="351"/>
      <c r="G732" s="455"/>
      <c r="H732" s="351"/>
      <c r="I732" s="456"/>
      <c r="J732" s="433"/>
      <c r="K732" s="353"/>
      <c r="L732" s="433"/>
    </row>
    <row r="733">
      <c r="A733" s="433"/>
      <c r="B733" s="456"/>
      <c r="C733" s="433"/>
      <c r="D733" s="433"/>
      <c r="E733" s="460"/>
      <c r="F733" s="351"/>
      <c r="G733" s="455"/>
      <c r="H733" s="351"/>
      <c r="I733" s="456"/>
      <c r="J733" s="433"/>
      <c r="K733" s="353"/>
      <c r="L733" s="433"/>
    </row>
    <row r="734">
      <c r="A734" s="433"/>
      <c r="B734" s="456"/>
      <c r="C734" s="433"/>
      <c r="D734" s="433"/>
      <c r="E734" s="460"/>
      <c r="F734" s="351"/>
      <c r="G734" s="455"/>
      <c r="H734" s="351"/>
      <c r="I734" s="456"/>
      <c r="J734" s="433"/>
      <c r="K734" s="353"/>
      <c r="L734" s="433"/>
    </row>
    <row r="735">
      <c r="A735" s="433"/>
      <c r="B735" s="456"/>
      <c r="C735" s="433"/>
      <c r="D735" s="433"/>
      <c r="E735" s="460"/>
      <c r="F735" s="351"/>
      <c r="G735" s="455"/>
      <c r="H735" s="351"/>
      <c r="I735" s="456"/>
      <c r="J735" s="433"/>
      <c r="K735" s="353"/>
      <c r="L735" s="433"/>
    </row>
    <row r="736">
      <c r="A736" s="433"/>
      <c r="B736" s="456"/>
      <c r="C736" s="433"/>
      <c r="D736" s="433"/>
      <c r="E736" s="460"/>
      <c r="F736" s="351"/>
      <c r="G736" s="455"/>
      <c r="H736" s="351"/>
      <c r="I736" s="456"/>
      <c r="J736" s="433"/>
      <c r="K736" s="353"/>
      <c r="L736" s="433"/>
    </row>
    <row r="737">
      <c r="A737" s="433"/>
      <c r="B737" s="456"/>
      <c r="C737" s="433"/>
      <c r="D737" s="433"/>
      <c r="E737" s="460"/>
      <c r="F737" s="351"/>
      <c r="G737" s="455"/>
      <c r="H737" s="351"/>
      <c r="I737" s="456"/>
      <c r="J737" s="433"/>
      <c r="K737" s="353"/>
      <c r="L737" s="433"/>
    </row>
    <row r="738">
      <c r="A738" s="433"/>
      <c r="B738" s="456"/>
      <c r="C738" s="433"/>
      <c r="D738" s="433"/>
      <c r="E738" s="460"/>
      <c r="F738" s="351"/>
      <c r="G738" s="455"/>
      <c r="H738" s="351"/>
      <c r="I738" s="456"/>
      <c r="J738" s="433"/>
      <c r="K738" s="353"/>
      <c r="L738" s="433"/>
    </row>
    <row r="739">
      <c r="A739" s="433"/>
      <c r="B739" s="456"/>
      <c r="C739" s="433"/>
      <c r="D739" s="433"/>
      <c r="E739" s="460"/>
      <c r="F739" s="351"/>
      <c r="G739" s="455"/>
      <c r="H739" s="351"/>
      <c r="I739" s="456"/>
      <c r="J739" s="433"/>
      <c r="K739" s="353"/>
      <c r="L739" s="433"/>
    </row>
    <row r="740">
      <c r="A740" s="433"/>
      <c r="B740" s="456"/>
      <c r="C740" s="433"/>
      <c r="D740" s="433"/>
      <c r="E740" s="460"/>
      <c r="F740" s="351"/>
      <c r="G740" s="455"/>
      <c r="H740" s="351"/>
      <c r="I740" s="456"/>
      <c r="J740" s="433"/>
      <c r="K740" s="353"/>
      <c r="L740" s="433"/>
    </row>
    <row r="741">
      <c r="A741" s="433"/>
      <c r="B741" s="456"/>
      <c r="C741" s="433"/>
      <c r="D741" s="433"/>
      <c r="E741" s="460"/>
      <c r="F741" s="351"/>
      <c r="G741" s="455"/>
      <c r="H741" s="351"/>
      <c r="I741" s="456"/>
      <c r="J741" s="433"/>
      <c r="K741" s="353"/>
      <c r="L741" s="433"/>
    </row>
    <row r="742">
      <c r="A742" s="433"/>
      <c r="B742" s="456"/>
      <c r="C742" s="433"/>
      <c r="D742" s="433"/>
      <c r="E742" s="460"/>
      <c r="F742" s="351"/>
      <c r="G742" s="455"/>
      <c r="H742" s="351"/>
      <c r="I742" s="456"/>
      <c r="J742" s="433"/>
      <c r="K742" s="353"/>
      <c r="L742" s="433"/>
    </row>
    <row r="743">
      <c r="A743" s="433"/>
      <c r="B743" s="456"/>
      <c r="C743" s="433"/>
      <c r="D743" s="433"/>
      <c r="E743" s="460"/>
      <c r="F743" s="351"/>
      <c r="G743" s="455"/>
      <c r="H743" s="351"/>
      <c r="I743" s="456"/>
      <c r="J743" s="433"/>
      <c r="K743" s="353"/>
      <c r="L743" s="433"/>
    </row>
    <row r="744">
      <c r="A744" s="433"/>
      <c r="B744" s="456"/>
      <c r="C744" s="433"/>
      <c r="D744" s="433"/>
      <c r="E744" s="460"/>
      <c r="F744" s="351"/>
      <c r="G744" s="455"/>
      <c r="H744" s="351"/>
      <c r="I744" s="456"/>
      <c r="J744" s="433"/>
      <c r="K744" s="353"/>
      <c r="L744" s="433"/>
    </row>
    <row r="745">
      <c r="A745" s="433"/>
      <c r="B745" s="456"/>
      <c r="C745" s="433"/>
      <c r="D745" s="433"/>
      <c r="E745" s="460"/>
      <c r="F745" s="351"/>
      <c r="G745" s="455"/>
      <c r="H745" s="351"/>
      <c r="I745" s="456"/>
      <c r="J745" s="433"/>
      <c r="K745" s="353"/>
      <c r="L745" s="433"/>
    </row>
    <row r="746">
      <c r="A746" s="433"/>
      <c r="B746" s="456"/>
      <c r="C746" s="433"/>
      <c r="D746" s="433"/>
      <c r="E746" s="460"/>
      <c r="F746" s="351"/>
      <c r="G746" s="455"/>
      <c r="H746" s="351"/>
      <c r="I746" s="456"/>
      <c r="J746" s="433"/>
      <c r="K746" s="353"/>
      <c r="L746" s="433"/>
    </row>
    <row r="747">
      <c r="A747" s="433"/>
      <c r="B747" s="456"/>
      <c r="C747" s="433"/>
      <c r="D747" s="433"/>
      <c r="E747" s="460"/>
      <c r="F747" s="351"/>
      <c r="G747" s="455"/>
      <c r="H747" s="351"/>
      <c r="I747" s="456"/>
      <c r="J747" s="433"/>
      <c r="K747" s="353"/>
      <c r="L747" s="433"/>
    </row>
    <row r="748">
      <c r="A748" s="433"/>
      <c r="B748" s="456"/>
      <c r="C748" s="433"/>
      <c r="D748" s="433"/>
      <c r="E748" s="460"/>
      <c r="F748" s="351"/>
      <c r="G748" s="455"/>
      <c r="H748" s="351"/>
      <c r="I748" s="456"/>
      <c r="J748" s="433"/>
      <c r="K748" s="353"/>
      <c r="L748" s="433"/>
    </row>
    <row r="749">
      <c r="A749" s="433"/>
      <c r="B749" s="456"/>
      <c r="C749" s="433"/>
      <c r="D749" s="433"/>
      <c r="E749" s="460"/>
      <c r="F749" s="351"/>
      <c r="G749" s="455"/>
      <c r="H749" s="351"/>
      <c r="I749" s="456"/>
      <c r="J749" s="433"/>
      <c r="K749" s="353"/>
      <c r="L749" s="433"/>
    </row>
    <row r="750">
      <c r="A750" s="433"/>
      <c r="B750" s="456"/>
      <c r="C750" s="433"/>
      <c r="D750" s="433"/>
      <c r="E750" s="460"/>
      <c r="F750" s="351"/>
      <c r="G750" s="455"/>
      <c r="H750" s="351"/>
      <c r="I750" s="456"/>
      <c r="J750" s="433"/>
      <c r="K750" s="353"/>
      <c r="L750" s="433"/>
    </row>
    <row r="751">
      <c r="A751" s="433"/>
      <c r="B751" s="456"/>
      <c r="C751" s="433"/>
      <c r="D751" s="433"/>
      <c r="E751" s="460"/>
      <c r="F751" s="351"/>
      <c r="G751" s="455"/>
      <c r="H751" s="351"/>
      <c r="I751" s="456"/>
      <c r="J751" s="433"/>
      <c r="K751" s="353"/>
      <c r="L751" s="433"/>
    </row>
    <row r="752">
      <c r="A752" s="433"/>
      <c r="B752" s="456"/>
      <c r="C752" s="433"/>
      <c r="D752" s="433"/>
      <c r="E752" s="460"/>
      <c r="F752" s="351"/>
      <c r="G752" s="455"/>
      <c r="H752" s="351"/>
      <c r="I752" s="456"/>
      <c r="J752" s="433"/>
      <c r="K752" s="353"/>
      <c r="L752" s="433"/>
    </row>
    <row r="753">
      <c r="A753" s="433"/>
      <c r="B753" s="456"/>
      <c r="C753" s="433"/>
      <c r="D753" s="433"/>
      <c r="E753" s="460"/>
      <c r="F753" s="351"/>
      <c r="G753" s="455"/>
      <c r="H753" s="351"/>
      <c r="I753" s="456"/>
      <c r="J753" s="433"/>
      <c r="K753" s="353"/>
      <c r="L753" s="433"/>
    </row>
    <row r="754">
      <c r="A754" s="433"/>
      <c r="B754" s="456"/>
      <c r="C754" s="433"/>
      <c r="D754" s="433"/>
      <c r="E754" s="460"/>
      <c r="F754" s="351"/>
      <c r="G754" s="455"/>
      <c r="H754" s="351"/>
      <c r="I754" s="456"/>
      <c r="J754" s="433"/>
      <c r="K754" s="353"/>
      <c r="L754" s="433"/>
    </row>
    <row r="755">
      <c r="A755" s="433"/>
      <c r="B755" s="456"/>
      <c r="C755" s="433"/>
      <c r="D755" s="433"/>
      <c r="E755" s="460"/>
      <c r="F755" s="351"/>
      <c r="G755" s="455"/>
      <c r="H755" s="351"/>
      <c r="I755" s="456"/>
      <c r="J755" s="433"/>
      <c r="K755" s="353"/>
      <c r="L755" s="433"/>
    </row>
    <row r="756">
      <c r="A756" s="433"/>
      <c r="B756" s="456"/>
      <c r="C756" s="433"/>
      <c r="D756" s="433"/>
      <c r="E756" s="460"/>
      <c r="F756" s="351"/>
      <c r="G756" s="455"/>
      <c r="H756" s="351"/>
      <c r="I756" s="456"/>
      <c r="J756" s="433"/>
      <c r="K756" s="353"/>
      <c r="L756" s="433"/>
    </row>
    <row r="757">
      <c r="A757" s="433"/>
      <c r="B757" s="456"/>
      <c r="C757" s="433"/>
      <c r="D757" s="433"/>
      <c r="E757" s="460"/>
      <c r="F757" s="351"/>
      <c r="G757" s="455"/>
      <c r="H757" s="351"/>
      <c r="I757" s="456"/>
      <c r="J757" s="433"/>
      <c r="K757" s="353"/>
      <c r="L757" s="433"/>
    </row>
    <row r="758">
      <c r="A758" s="433"/>
      <c r="B758" s="456"/>
      <c r="C758" s="433"/>
      <c r="D758" s="433"/>
      <c r="E758" s="460"/>
      <c r="F758" s="351"/>
      <c r="G758" s="455"/>
      <c r="H758" s="351"/>
      <c r="I758" s="456"/>
      <c r="J758" s="433"/>
      <c r="K758" s="353"/>
      <c r="L758" s="433"/>
    </row>
    <row r="759">
      <c r="A759" s="433"/>
      <c r="B759" s="456"/>
      <c r="C759" s="433"/>
      <c r="D759" s="433"/>
      <c r="E759" s="460"/>
      <c r="F759" s="351"/>
      <c r="G759" s="455"/>
      <c r="H759" s="351"/>
      <c r="I759" s="456"/>
      <c r="J759" s="433"/>
      <c r="K759" s="353"/>
      <c r="L759" s="433"/>
    </row>
    <row r="760">
      <c r="A760" s="433"/>
      <c r="B760" s="456"/>
      <c r="C760" s="433"/>
      <c r="D760" s="433"/>
      <c r="E760" s="460"/>
      <c r="F760" s="351"/>
      <c r="G760" s="455"/>
      <c r="H760" s="351"/>
      <c r="I760" s="456"/>
      <c r="J760" s="433"/>
      <c r="K760" s="353"/>
      <c r="L760" s="433"/>
    </row>
    <row r="761">
      <c r="A761" s="433"/>
      <c r="B761" s="456"/>
      <c r="C761" s="433"/>
      <c r="D761" s="433"/>
      <c r="E761" s="460"/>
      <c r="F761" s="351"/>
      <c r="G761" s="455"/>
      <c r="H761" s="351"/>
      <c r="I761" s="456"/>
      <c r="J761" s="433"/>
      <c r="K761" s="353"/>
      <c r="L761" s="433"/>
    </row>
    <row r="762">
      <c r="A762" s="433"/>
      <c r="B762" s="456"/>
      <c r="C762" s="433"/>
      <c r="D762" s="433"/>
      <c r="E762" s="460"/>
      <c r="F762" s="351"/>
      <c r="G762" s="455"/>
      <c r="H762" s="351"/>
      <c r="I762" s="456"/>
      <c r="J762" s="433"/>
      <c r="K762" s="353"/>
      <c r="L762" s="433"/>
    </row>
    <row r="763">
      <c r="A763" s="433"/>
      <c r="B763" s="456"/>
      <c r="C763" s="433"/>
      <c r="D763" s="433"/>
      <c r="E763" s="460"/>
      <c r="F763" s="351"/>
      <c r="G763" s="455"/>
      <c r="H763" s="351"/>
      <c r="I763" s="456"/>
      <c r="J763" s="433"/>
      <c r="K763" s="353"/>
      <c r="L763" s="433"/>
    </row>
    <row r="764">
      <c r="A764" s="433"/>
      <c r="B764" s="456"/>
      <c r="C764" s="433"/>
      <c r="D764" s="433"/>
      <c r="E764" s="460"/>
      <c r="F764" s="351"/>
      <c r="G764" s="455"/>
      <c r="H764" s="351"/>
      <c r="I764" s="456"/>
      <c r="J764" s="433"/>
      <c r="K764" s="353"/>
      <c r="L764" s="433"/>
    </row>
    <row r="765">
      <c r="A765" s="433"/>
      <c r="B765" s="456"/>
      <c r="C765" s="433"/>
      <c r="D765" s="433"/>
      <c r="E765" s="460"/>
      <c r="F765" s="351"/>
      <c r="G765" s="455"/>
      <c r="H765" s="351"/>
      <c r="I765" s="456"/>
      <c r="J765" s="433"/>
      <c r="K765" s="353"/>
      <c r="L765" s="433"/>
    </row>
    <row r="766">
      <c r="A766" s="433"/>
      <c r="B766" s="456"/>
      <c r="C766" s="433"/>
      <c r="D766" s="433"/>
      <c r="E766" s="460"/>
      <c r="F766" s="351"/>
      <c r="G766" s="455"/>
      <c r="H766" s="351"/>
      <c r="I766" s="456"/>
      <c r="J766" s="433"/>
      <c r="K766" s="353"/>
      <c r="L766" s="433"/>
    </row>
    <row r="767">
      <c r="A767" s="433"/>
      <c r="B767" s="456"/>
      <c r="C767" s="433"/>
      <c r="D767" s="433"/>
      <c r="E767" s="460"/>
      <c r="F767" s="351"/>
      <c r="G767" s="455"/>
      <c r="H767" s="351"/>
      <c r="I767" s="456"/>
      <c r="J767" s="433"/>
      <c r="K767" s="353"/>
      <c r="L767" s="433"/>
    </row>
    <row r="768">
      <c r="A768" s="433"/>
      <c r="B768" s="456"/>
      <c r="C768" s="433"/>
      <c r="D768" s="433"/>
      <c r="E768" s="460"/>
      <c r="F768" s="351"/>
      <c r="G768" s="455"/>
      <c r="H768" s="351"/>
      <c r="I768" s="456"/>
      <c r="J768" s="433"/>
      <c r="K768" s="353"/>
      <c r="L768" s="433"/>
    </row>
    <row r="769">
      <c r="A769" s="433"/>
      <c r="B769" s="456"/>
      <c r="C769" s="433"/>
      <c r="D769" s="433"/>
      <c r="E769" s="460"/>
      <c r="F769" s="351"/>
      <c r="G769" s="455"/>
      <c r="H769" s="351"/>
      <c r="I769" s="456"/>
      <c r="J769" s="433"/>
      <c r="K769" s="353"/>
      <c r="L769" s="433"/>
    </row>
    <row r="770">
      <c r="A770" s="433"/>
      <c r="B770" s="456"/>
      <c r="C770" s="433"/>
      <c r="D770" s="433"/>
      <c r="E770" s="460"/>
      <c r="F770" s="351"/>
      <c r="G770" s="455"/>
      <c r="H770" s="351"/>
      <c r="I770" s="456"/>
      <c r="J770" s="433"/>
      <c r="K770" s="353"/>
      <c r="L770" s="433"/>
    </row>
    <row r="771">
      <c r="A771" s="433"/>
      <c r="B771" s="456"/>
      <c r="C771" s="433"/>
      <c r="D771" s="433"/>
      <c r="E771" s="460"/>
      <c r="F771" s="351"/>
      <c r="G771" s="455"/>
      <c r="H771" s="351"/>
      <c r="I771" s="456"/>
      <c r="J771" s="433"/>
      <c r="K771" s="353"/>
      <c r="L771" s="433"/>
    </row>
    <row r="772">
      <c r="A772" s="433"/>
      <c r="B772" s="456"/>
      <c r="C772" s="433"/>
      <c r="D772" s="433"/>
      <c r="E772" s="460"/>
      <c r="F772" s="351"/>
      <c r="G772" s="455"/>
      <c r="H772" s="351"/>
      <c r="I772" s="456"/>
      <c r="J772" s="433"/>
      <c r="K772" s="353"/>
      <c r="L772" s="433"/>
    </row>
    <row r="773">
      <c r="A773" s="433"/>
      <c r="B773" s="456"/>
      <c r="C773" s="433"/>
      <c r="D773" s="433"/>
      <c r="E773" s="460"/>
      <c r="F773" s="351"/>
      <c r="G773" s="455"/>
      <c r="H773" s="351"/>
      <c r="I773" s="456"/>
      <c r="J773" s="433"/>
      <c r="K773" s="353"/>
      <c r="L773" s="433"/>
    </row>
    <row r="774">
      <c r="A774" s="433"/>
      <c r="B774" s="456"/>
      <c r="C774" s="433"/>
      <c r="D774" s="433"/>
      <c r="E774" s="460"/>
      <c r="F774" s="351"/>
      <c r="G774" s="455"/>
      <c r="H774" s="351"/>
      <c r="I774" s="456"/>
      <c r="J774" s="433"/>
      <c r="K774" s="353"/>
      <c r="L774" s="433"/>
    </row>
    <row r="775">
      <c r="A775" s="433"/>
      <c r="B775" s="456"/>
      <c r="C775" s="433"/>
      <c r="D775" s="433"/>
      <c r="E775" s="460"/>
      <c r="F775" s="351"/>
      <c r="G775" s="455"/>
      <c r="H775" s="351"/>
      <c r="I775" s="456"/>
      <c r="J775" s="433"/>
      <c r="K775" s="353"/>
      <c r="L775" s="433"/>
    </row>
    <row r="776">
      <c r="A776" s="433"/>
      <c r="B776" s="456"/>
      <c r="C776" s="433"/>
      <c r="D776" s="433"/>
      <c r="E776" s="460"/>
      <c r="F776" s="351"/>
      <c r="G776" s="455"/>
      <c r="H776" s="351"/>
      <c r="I776" s="456"/>
      <c r="J776" s="433"/>
      <c r="K776" s="353"/>
      <c r="L776" s="433"/>
    </row>
    <row r="777">
      <c r="A777" s="433"/>
      <c r="B777" s="456"/>
      <c r="C777" s="433"/>
      <c r="D777" s="433"/>
      <c r="E777" s="460"/>
      <c r="F777" s="351"/>
      <c r="G777" s="455"/>
      <c r="H777" s="351"/>
      <c r="I777" s="456"/>
      <c r="J777" s="433"/>
      <c r="K777" s="353"/>
      <c r="L777" s="433"/>
    </row>
    <row r="778">
      <c r="A778" s="433"/>
      <c r="B778" s="456"/>
      <c r="C778" s="433"/>
      <c r="D778" s="433"/>
      <c r="E778" s="460"/>
      <c r="F778" s="351"/>
      <c r="G778" s="455"/>
      <c r="H778" s="351"/>
      <c r="I778" s="456"/>
      <c r="J778" s="433"/>
      <c r="K778" s="353"/>
      <c r="L778" s="433"/>
    </row>
    <row r="779">
      <c r="A779" s="433"/>
      <c r="B779" s="456"/>
      <c r="C779" s="433"/>
      <c r="D779" s="433"/>
      <c r="E779" s="460"/>
      <c r="F779" s="351"/>
      <c r="G779" s="455"/>
      <c r="H779" s="351"/>
      <c r="I779" s="456"/>
      <c r="J779" s="433"/>
      <c r="K779" s="353"/>
      <c r="L779" s="433"/>
    </row>
    <row r="780">
      <c r="A780" s="433"/>
      <c r="B780" s="456"/>
      <c r="C780" s="433"/>
      <c r="D780" s="433"/>
      <c r="E780" s="460"/>
      <c r="F780" s="351"/>
      <c r="G780" s="455"/>
      <c r="H780" s="351"/>
      <c r="I780" s="456"/>
      <c r="J780" s="433"/>
      <c r="K780" s="353"/>
      <c r="L780" s="433"/>
    </row>
    <row r="781">
      <c r="A781" s="433"/>
      <c r="B781" s="456"/>
      <c r="C781" s="433"/>
      <c r="D781" s="433"/>
      <c r="E781" s="460"/>
      <c r="F781" s="351"/>
      <c r="G781" s="455"/>
      <c r="H781" s="351"/>
      <c r="I781" s="456"/>
      <c r="J781" s="433"/>
      <c r="K781" s="353"/>
      <c r="L781" s="433"/>
    </row>
    <row r="782">
      <c r="A782" s="433"/>
      <c r="B782" s="456"/>
      <c r="C782" s="433"/>
      <c r="D782" s="433"/>
      <c r="E782" s="460"/>
      <c r="F782" s="351"/>
      <c r="G782" s="455"/>
      <c r="H782" s="351"/>
      <c r="I782" s="456"/>
      <c r="J782" s="433"/>
      <c r="K782" s="353"/>
      <c r="L782" s="433"/>
    </row>
    <row r="783">
      <c r="A783" s="433"/>
      <c r="B783" s="456"/>
      <c r="C783" s="433"/>
      <c r="D783" s="433"/>
      <c r="E783" s="460"/>
      <c r="F783" s="351"/>
      <c r="G783" s="455"/>
      <c r="H783" s="351"/>
      <c r="I783" s="456"/>
      <c r="J783" s="433"/>
      <c r="K783" s="353"/>
      <c r="L783" s="433"/>
    </row>
    <row r="784">
      <c r="A784" s="433"/>
      <c r="B784" s="456"/>
      <c r="C784" s="433"/>
      <c r="D784" s="433"/>
      <c r="E784" s="460"/>
      <c r="F784" s="351"/>
      <c r="G784" s="455"/>
      <c r="H784" s="351"/>
      <c r="I784" s="456"/>
      <c r="J784" s="433"/>
      <c r="K784" s="353"/>
      <c r="L784" s="433"/>
    </row>
    <row r="785">
      <c r="A785" s="433"/>
      <c r="B785" s="456"/>
      <c r="C785" s="433"/>
      <c r="D785" s="433"/>
      <c r="E785" s="460"/>
      <c r="F785" s="351"/>
      <c r="G785" s="455"/>
      <c r="H785" s="351"/>
      <c r="I785" s="456"/>
      <c r="J785" s="433"/>
      <c r="K785" s="353"/>
      <c r="L785" s="433"/>
    </row>
    <row r="786">
      <c r="A786" s="433"/>
      <c r="B786" s="456"/>
      <c r="C786" s="433"/>
      <c r="D786" s="433"/>
      <c r="E786" s="460"/>
      <c r="F786" s="351"/>
      <c r="G786" s="455"/>
      <c r="H786" s="351"/>
      <c r="I786" s="456"/>
      <c r="J786" s="433"/>
      <c r="K786" s="353"/>
      <c r="L786" s="433"/>
    </row>
    <row r="787">
      <c r="A787" s="433"/>
      <c r="B787" s="456"/>
      <c r="C787" s="433"/>
      <c r="D787" s="433"/>
      <c r="E787" s="460"/>
      <c r="F787" s="351"/>
      <c r="G787" s="455"/>
      <c r="H787" s="351"/>
      <c r="I787" s="456"/>
      <c r="J787" s="433"/>
      <c r="K787" s="353"/>
      <c r="L787" s="433"/>
    </row>
    <row r="788">
      <c r="A788" s="433"/>
      <c r="B788" s="456"/>
      <c r="C788" s="433"/>
      <c r="D788" s="433"/>
      <c r="E788" s="460"/>
      <c r="F788" s="351"/>
      <c r="G788" s="455"/>
      <c r="H788" s="351"/>
      <c r="I788" s="456"/>
      <c r="J788" s="433"/>
      <c r="K788" s="353"/>
      <c r="L788" s="433"/>
    </row>
    <row r="789">
      <c r="A789" s="433"/>
      <c r="B789" s="456"/>
      <c r="C789" s="433"/>
      <c r="D789" s="433"/>
      <c r="E789" s="460"/>
      <c r="F789" s="351"/>
      <c r="G789" s="455"/>
      <c r="H789" s="351"/>
      <c r="I789" s="456"/>
      <c r="J789" s="433"/>
      <c r="K789" s="353"/>
      <c r="L789" s="433"/>
    </row>
    <row r="790">
      <c r="A790" s="433"/>
      <c r="B790" s="456"/>
      <c r="C790" s="433"/>
      <c r="D790" s="433"/>
      <c r="E790" s="460"/>
      <c r="F790" s="351"/>
      <c r="G790" s="455"/>
      <c r="H790" s="351"/>
      <c r="I790" s="456"/>
      <c r="J790" s="433"/>
      <c r="K790" s="353"/>
      <c r="L790" s="433"/>
    </row>
    <row r="791">
      <c r="A791" s="433"/>
      <c r="B791" s="456"/>
      <c r="C791" s="433"/>
      <c r="D791" s="433"/>
      <c r="E791" s="460"/>
      <c r="F791" s="351"/>
      <c r="G791" s="455"/>
      <c r="H791" s="351"/>
      <c r="I791" s="456"/>
      <c r="J791" s="433"/>
      <c r="K791" s="353"/>
      <c r="L791" s="433"/>
    </row>
    <row r="792">
      <c r="A792" s="433"/>
      <c r="B792" s="456"/>
      <c r="C792" s="433"/>
      <c r="D792" s="433"/>
      <c r="E792" s="460"/>
      <c r="F792" s="351"/>
      <c r="G792" s="455"/>
      <c r="H792" s="351"/>
      <c r="I792" s="456"/>
      <c r="J792" s="433"/>
      <c r="K792" s="353"/>
      <c r="L792" s="433"/>
    </row>
    <row r="793">
      <c r="A793" s="433"/>
      <c r="B793" s="456"/>
      <c r="C793" s="433"/>
      <c r="D793" s="433"/>
      <c r="E793" s="460"/>
      <c r="F793" s="351"/>
      <c r="G793" s="455"/>
      <c r="H793" s="351"/>
      <c r="I793" s="456"/>
      <c r="J793" s="433"/>
      <c r="K793" s="353"/>
      <c r="L793" s="433"/>
    </row>
    <row r="794">
      <c r="A794" s="433"/>
      <c r="B794" s="456"/>
      <c r="C794" s="433"/>
      <c r="D794" s="433"/>
      <c r="E794" s="460"/>
      <c r="F794" s="351"/>
      <c r="G794" s="455"/>
      <c r="H794" s="351"/>
      <c r="I794" s="456"/>
      <c r="J794" s="433"/>
      <c r="K794" s="353"/>
      <c r="L794" s="433"/>
    </row>
    <row r="795">
      <c r="A795" s="433"/>
      <c r="B795" s="456"/>
      <c r="C795" s="433"/>
      <c r="D795" s="433"/>
      <c r="E795" s="460"/>
      <c r="F795" s="351"/>
      <c r="G795" s="455"/>
      <c r="H795" s="351"/>
      <c r="I795" s="456"/>
      <c r="J795" s="433"/>
      <c r="K795" s="353"/>
      <c r="L795" s="433"/>
    </row>
    <row r="796">
      <c r="A796" s="433"/>
      <c r="B796" s="456"/>
      <c r="C796" s="433"/>
      <c r="D796" s="433"/>
      <c r="E796" s="460"/>
      <c r="F796" s="351"/>
      <c r="G796" s="455"/>
      <c r="H796" s="351"/>
      <c r="I796" s="456"/>
      <c r="J796" s="433"/>
      <c r="K796" s="353"/>
      <c r="L796" s="433"/>
    </row>
    <row r="797">
      <c r="A797" s="433"/>
      <c r="B797" s="456"/>
      <c r="C797" s="433"/>
      <c r="D797" s="433"/>
      <c r="E797" s="460"/>
      <c r="F797" s="351"/>
      <c r="G797" s="455"/>
      <c r="H797" s="351"/>
      <c r="I797" s="456"/>
      <c r="J797" s="433"/>
      <c r="K797" s="353"/>
      <c r="L797" s="433"/>
    </row>
    <row r="798">
      <c r="A798" s="433"/>
      <c r="B798" s="456"/>
      <c r="C798" s="433"/>
      <c r="D798" s="433"/>
      <c r="E798" s="460"/>
      <c r="F798" s="351"/>
      <c r="G798" s="455"/>
      <c r="H798" s="351"/>
      <c r="I798" s="456"/>
      <c r="J798" s="433"/>
      <c r="K798" s="353"/>
      <c r="L798" s="433"/>
    </row>
    <row r="799">
      <c r="A799" s="433"/>
      <c r="B799" s="456"/>
      <c r="C799" s="433"/>
      <c r="D799" s="433"/>
      <c r="E799" s="460"/>
      <c r="F799" s="351"/>
      <c r="G799" s="455"/>
      <c r="H799" s="351"/>
      <c r="I799" s="456"/>
      <c r="J799" s="433"/>
      <c r="K799" s="353"/>
      <c r="L799" s="433"/>
    </row>
    <row r="800">
      <c r="A800" s="433"/>
      <c r="B800" s="456"/>
      <c r="C800" s="433"/>
      <c r="D800" s="433"/>
      <c r="E800" s="460"/>
      <c r="F800" s="351"/>
      <c r="G800" s="455"/>
      <c r="H800" s="351"/>
      <c r="I800" s="456"/>
      <c r="J800" s="433"/>
      <c r="K800" s="353"/>
      <c r="L800" s="433"/>
    </row>
    <row r="801">
      <c r="A801" s="433"/>
      <c r="B801" s="456"/>
      <c r="C801" s="433"/>
      <c r="D801" s="433"/>
      <c r="E801" s="460"/>
      <c r="F801" s="351"/>
      <c r="G801" s="455"/>
      <c r="H801" s="351"/>
      <c r="I801" s="456"/>
      <c r="J801" s="433"/>
      <c r="K801" s="353"/>
      <c r="L801" s="433"/>
    </row>
    <row r="802">
      <c r="A802" s="433"/>
      <c r="B802" s="456"/>
      <c r="C802" s="433"/>
      <c r="D802" s="433"/>
      <c r="E802" s="460"/>
      <c r="F802" s="351"/>
      <c r="G802" s="455"/>
      <c r="H802" s="351"/>
      <c r="I802" s="456"/>
      <c r="J802" s="433"/>
      <c r="K802" s="353"/>
      <c r="L802" s="433"/>
    </row>
    <row r="803">
      <c r="A803" s="433"/>
      <c r="B803" s="456"/>
      <c r="C803" s="433"/>
      <c r="D803" s="433"/>
      <c r="E803" s="460"/>
      <c r="F803" s="351"/>
      <c r="G803" s="455"/>
      <c r="H803" s="351"/>
      <c r="I803" s="456"/>
      <c r="J803" s="433"/>
      <c r="K803" s="353"/>
      <c r="L803" s="433"/>
    </row>
    <row r="804">
      <c r="A804" s="433"/>
      <c r="B804" s="456"/>
      <c r="C804" s="433"/>
      <c r="D804" s="433"/>
      <c r="E804" s="460"/>
      <c r="F804" s="351"/>
      <c r="G804" s="455"/>
      <c r="H804" s="351"/>
      <c r="I804" s="456"/>
      <c r="J804" s="433"/>
      <c r="K804" s="353"/>
      <c r="L804" s="433"/>
    </row>
    <row r="805">
      <c r="A805" s="433"/>
      <c r="B805" s="456"/>
      <c r="C805" s="433"/>
      <c r="D805" s="433"/>
      <c r="E805" s="460"/>
      <c r="F805" s="351"/>
      <c r="G805" s="455"/>
      <c r="H805" s="351"/>
      <c r="I805" s="456"/>
      <c r="J805" s="433"/>
      <c r="K805" s="353"/>
      <c r="L805" s="433"/>
    </row>
    <row r="806">
      <c r="A806" s="433"/>
      <c r="B806" s="456"/>
      <c r="C806" s="433"/>
      <c r="D806" s="433"/>
      <c r="E806" s="460"/>
      <c r="F806" s="351"/>
      <c r="G806" s="455"/>
      <c r="H806" s="351"/>
      <c r="I806" s="456"/>
      <c r="J806" s="433"/>
      <c r="K806" s="353"/>
      <c r="L806" s="433"/>
    </row>
    <row r="807">
      <c r="A807" s="433"/>
      <c r="B807" s="456"/>
      <c r="C807" s="433"/>
      <c r="D807" s="433"/>
      <c r="E807" s="460"/>
      <c r="F807" s="351"/>
      <c r="G807" s="455"/>
      <c r="H807" s="351"/>
      <c r="I807" s="456"/>
      <c r="J807" s="433"/>
      <c r="K807" s="353"/>
      <c r="L807" s="433"/>
    </row>
    <row r="808">
      <c r="A808" s="433"/>
      <c r="B808" s="456"/>
      <c r="C808" s="433"/>
      <c r="D808" s="433"/>
      <c r="E808" s="460"/>
      <c r="F808" s="351"/>
      <c r="G808" s="455"/>
      <c r="H808" s="351"/>
      <c r="I808" s="456"/>
      <c r="J808" s="433"/>
      <c r="K808" s="353"/>
      <c r="L808" s="433"/>
    </row>
    <row r="809">
      <c r="A809" s="433"/>
      <c r="B809" s="456"/>
      <c r="C809" s="433"/>
      <c r="D809" s="433"/>
      <c r="E809" s="460"/>
      <c r="F809" s="351"/>
      <c r="G809" s="455"/>
      <c r="H809" s="351"/>
      <c r="I809" s="456"/>
      <c r="J809" s="433"/>
      <c r="K809" s="353"/>
      <c r="L809" s="433"/>
    </row>
    <row r="810">
      <c r="A810" s="433"/>
      <c r="B810" s="456"/>
      <c r="C810" s="433"/>
      <c r="D810" s="433"/>
      <c r="E810" s="460"/>
      <c r="F810" s="351"/>
      <c r="G810" s="455"/>
      <c r="H810" s="351"/>
      <c r="I810" s="456"/>
      <c r="J810" s="433"/>
      <c r="K810" s="353"/>
      <c r="L810" s="433"/>
    </row>
    <row r="811">
      <c r="A811" s="433"/>
      <c r="B811" s="456"/>
      <c r="C811" s="433"/>
      <c r="D811" s="433"/>
      <c r="E811" s="460"/>
      <c r="F811" s="351"/>
      <c r="G811" s="455"/>
      <c r="H811" s="351"/>
      <c r="I811" s="456"/>
      <c r="J811" s="433"/>
      <c r="K811" s="353"/>
      <c r="L811" s="433"/>
    </row>
    <row r="812">
      <c r="A812" s="433"/>
      <c r="B812" s="456"/>
      <c r="C812" s="433"/>
      <c r="D812" s="433"/>
      <c r="E812" s="460"/>
      <c r="F812" s="351"/>
      <c r="G812" s="455"/>
      <c r="H812" s="351"/>
      <c r="I812" s="456"/>
      <c r="J812" s="433"/>
      <c r="K812" s="353"/>
      <c r="L812" s="433"/>
    </row>
    <row r="813">
      <c r="A813" s="433"/>
      <c r="B813" s="456"/>
      <c r="C813" s="433"/>
      <c r="D813" s="433"/>
      <c r="E813" s="460"/>
      <c r="F813" s="351"/>
      <c r="G813" s="455"/>
      <c r="H813" s="351"/>
      <c r="I813" s="456"/>
      <c r="J813" s="433"/>
      <c r="K813" s="353"/>
      <c r="L813" s="433"/>
    </row>
    <row r="814">
      <c r="A814" s="433"/>
      <c r="B814" s="456"/>
      <c r="C814" s="433"/>
      <c r="D814" s="433"/>
      <c r="E814" s="460"/>
      <c r="F814" s="351"/>
      <c r="G814" s="455"/>
      <c r="H814" s="351"/>
      <c r="I814" s="456"/>
      <c r="J814" s="433"/>
      <c r="K814" s="353"/>
      <c r="L814" s="433"/>
    </row>
    <row r="815">
      <c r="A815" s="433"/>
      <c r="B815" s="456"/>
      <c r="C815" s="433"/>
      <c r="D815" s="433"/>
      <c r="E815" s="460"/>
      <c r="F815" s="351"/>
      <c r="G815" s="455"/>
      <c r="H815" s="351"/>
      <c r="I815" s="456"/>
      <c r="J815" s="433"/>
      <c r="K815" s="353"/>
      <c r="L815" s="433"/>
    </row>
    <row r="816">
      <c r="A816" s="433"/>
      <c r="B816" s="456"/>
      <c r="C816" s="433"/>
      <c r="D816" s="433"/>
      <c r="E816" s="460"/>
      <c r="F816" s="351"/>
      <c r="G816" s="455"/>
      <c r="H816" s="351"/>
      <c r="I816" s="456"/>
      <c r="J816" s="433"/>
      <c r="K816" s="353"/>
      <c r="L816" s="433"/>
    </row>
    <row r="817">
      <c r="A817" s="433"/>
      <c r="B817" s="456"/>
      <c r="C817" s="433"/>
      <c r="D817" s="433"/>
      <c r="E817" s="460"/>
      <c r="F817" s="351"/>
      <c r="G817" s="455"/>
      <c r="H817" s="351"/>
      <c r="I817" s="456"/>
      <c r="J817" s="433"/>
      <c r="K817" s="353"/>
      <c r="L817" s="433"/>
    </row>
    <row r="818">
      <c r="A818" s="433"/>
      <c r="B818" s="456"/>
      <c r="C818" s="433"/>
      <c r="D818" s="433"/>
      <c r="E818" s="460"/>
      <c r="F818" s="351"/>
      <c r="G818" s="455"/>
      <c r="H818" s="351"/>
      <c r="I818" s="456"/>
      <c r="J818" s="433"/>
      <c r="K818" s="353"/>
      <c r="L818" s="433"/>
    </row>
    <row r="819">
      <c r="A819" s="433"/>
      <c r="B819" s="456"/>
      <c r="C819" s="433"/>
      <c r="D819" s="433"/>
      <c r="E819" s="460"/>
      <c r="F819" s="351"/>
      <c r="G819" s="455"/>
      <c r="H819" s="351"/>
      <c r="I819" s="456"/>
      <c r="J819" s="433"/>
      <c r="K819" s="353"/>
      <c r="L819" s="433"/>
    </row>
    <row r="820">
      <c r="A820" s="433"/>
      <c r="B820" s="456"/>
      <c r="C820" s="433"/>
      <c r="D820" s="433"/>
      <c r="E820" s="460"/>
      <c r="F820" s="351"/>
      <c r="G820" s="455"/>
      <c r="H820" s="351"/>
      <c r="I820" s="456"/>
      <c r="J820" s="433"/>
      <c r="K820" s="353"/>
      <c r="L820" s="433"/>
    </row>
    <row r="821">
      <c r="A821" s="433"/>
      <c r="B821" s="456"/>
      <c r="C821" s="433"/>
      <c r="D821" s="433"/>
      <c r="E821" s="460"/>
      <c r="F821" s="351"/>
      <c r="G821" s="455"/>
      <c r="H821" s="351"/>
      <c r="I821" s="456"/>
      <c r="J821" s="433"/>
      <c r="K821" s="353"/>
      <c r="L821" s="433"/>
    </row>
    <row r="822">
      <c r="A822" s="433"/>
      <c r="B822" s="456"/>
      <c r="C822" s="433"/>
      <c r="D822" s="433"/>
      <c r="E822" s="460"/>
      <c r="F822" s="351"/>
      <c r="G822" s="455"/>
      <c r="H822" s="351"/>
      <c r="I822" s="456"/>
      <c r="J822" s="433"/>
      <c r="K822" s="353"/>
      <c r="L822" s="433"/>
    </row>
    <row r="823">
      <c r="A823" s="433"/>
      <c r="B823" s="456"/>
      <c r="C823" s="433"/>
      <c r="D823" s="433"/>
      <c r="E823" s="460"/>
      <c r="F823" s="351"/>
      <c r="G823" s="455"/>
      <c r="H823" s="351"/>
      <c r="I823" s="456"/>
      <c r="J823" s="433"/>
      <c r="K823" s="353"/>
      <c r="L823" s="433"/>
    </row>
    <row r="824">
      <c r="A824" s="433"/>
      <c r="B824" s="456"/>
      <c r="C824" s="433"/>
      <c r="D824" s="433"/>
      <c r="E824" s="460"/>
      <c r="F824" s="351"/>
      <c r="G824" s="455"/>
      <c r="H824" s="351"/>
      <c r="I824" s="456"/>
      <c r="J824" s="433"/>
      <c r="K824" s="353"/>
      <c r="L824" s="433"/>
    </row>
    <row r="825">
      <c r="A825" s="433"/>
      <c r="B825" s="456"/>
      <c r="C825" s="433"/>
      <c r="D825" s="433"/>
      <c r="E825" s="460"/>
      <c r="F825" s="351"/>
      <c r="G825" s="455"/>
      <c r="H825" s="351"/>
      <c r="I825" s="456"/>
      <c r="J825" s="433"/>
      <c r="K825" s="353"/>
      <c r="L825" s="433"/>
    </row>
    <row r="826">
      <c r="A826" s="433"/>
      <c r="B826" s="456"/>
      <c r="C826" s="433"/>
      <c r="D826" s="433"/>
      <c r="E826" s="460"/>
      <c r="F826" s="351"/>
      <c r="G826" s="455"/>
      <c r="H826" s="351"/>
      <c r="I826" s="456"/>
      <c r="J826" s="433"/>
      <c r="K826" s="353"/>
      <c r="L826" s="433"/>
    </row>
    <row r="827">
      <c r="A827" s="433"/>
      <c r="B827" s="456"/>
      <c r="C827" s="433"/>
      <c r="D827" s="433"/>
      <c r="E827" s="460"/>
      <c r="F827" s="351"/>
      <c r="G827" s="455"/>
      <c r="H827" s="351"/>
      <c r="I827" s="456"/>
      <c r="J827" s="433"/>
      <c r="K827" s="353"/>
      <c r="L827" s="433"/>
    </row>
    <row r="828">
      <c r="A828" s="433"/>
      <c r="B828" s="456"/>
      <c r="C828" s="433"/>
      <c r="D828" s="433"/>
      <c r="E828" s="460"/>
      <c r="F828" s="351"/>
      <c r="G828" s="455"/>
      <c r="H828" s="351"/>
      <c r="I828" s="456"/>
      <c r="J828" s="433"/>
      <c r="K828" s="353"/>
      <c r="L828" s="433"/>
    </row>
    <row r="829">
      <c r="A829" s="433"/>
      <c r="B829" s="456"/>
      <c r="C829" s="433"/>
      <c r="D829" s="433"/>
      <c r="E829" s="460"/>
      <c r="F829" s="351"/>
      <c r="G829" s="455"/>
      <c r="H829" s="351"/>
      <c r="I829" s="456"/>
      <c r="J829" s="433"/>
      <c r="K829" s="353"/>
      <c r="L829" s="433"/>
    </row>
    <row r="830">
      <c r="A830" s="433"/>
      <c r="B830" s="456"/>
      <c r="C830" s="433"/>
      <c r="D830" s="433"/>
      <c r="E830" s="460"/>
      <c r="F830" s="351"/>
      <c r="G830" s="455"/>
      <c r="H830" s="351"/>
      <c r="I830" s="456"/>
      <c r="J830" s="433"/>
      <c r="K830" s="353"/>
      <c r="L830" s="433"/>
    </row>
    <row r="831">
      <c r="A831" s="433"/>
      <c r="B831" s="456"/>
      <c r="C831" s="433"/>
      <c r="D831" s="433"/>
      <c r="E831" s="460"/>
      <c r="F831" s="351"/>
      <c r="G831" s="455"/>
      <c r="H831" s="351"/>
      <c r="I831" s="456"/>
      <c r="J831" s="433"/>
      <c r="K831" s="353"/>
      <c r="L831" s="433"/>
    </row>
    <row r="832">
      <c r="A832" s="433"/>
      <c r="B832" s="456"/>
      <c r="C832" s="433"/>
      <c r="D832" s="433"/>
      <c r="E832" s="460"/>
      <c r="F832" s="351"/>
      <c r="G832" s="455"/>
      <c r="H832" s="351"/>
      <c r="I832" s="456"/>
      <c r="J832" s="433"/>
      <c r="K832" s="353"/>
      <c r="L832" s="433"/>
    </row>
    <row r="833">
      <c r="A833" s="433"/>
      <c r="B833" s="456"/>
      <c r="C833" s="433"/>
      <c r="D833" s="433"/>
      <c r="E833" s="460"/>
      <c r="F833" s="351"/>
      <c r="G833" s="455"/>
      <c r="H833" s="351"/>
      <c r="I833" s="456"/>
      <c r="J833" s="433"/>
      <c r="K833" s="353"/>
      <c r="L833" s="433"/>
    </row>
    <row r="834">
      <c r="A834" s="433"/>
      <c r="B834" s="456"/>
      <c r="C834" s="433"/>
      <c r="D834" s="433"/>
      <c r="E834" s="460"/>
      <c r="F834" s="351"/>
      <c r="G834" s="455"/>
      <c r="H834" s="351"/>
      <c r="I834" s="456"/>
      <c r="J834" s="433"/>
      <c r="K834" s="353"/>
      <c r="L834" s="433"/>
    </row>
    <row r="835">
      <c r="A835" s="433"/>
      <c r="B835" s="456"/>
      <c r="C835" s="433"/>
      <c r="D835" s="433"/>
      <c r="E835" s="460"/>
      <c r="F835" s="351"/>
      <c r="G835" s="455"/>
      <c r="H835" s="351"/>
      <c r="I835" s="456"/>
      <c r="J835" s="433"/>
      <c r="K835" s="353"/>
      <c r="L835" s="433"/>
    </row>
    <row r="836">
      <c r="A836" s="433"/>
      <c r="B836" s="456"/>
      <c r="C836" s="433"/>
      <c r="D836" s="433"/>
      <c r="E836" s="460"/>
      <c r="F836" s="351"/>
      <c r="G836" s="455"/>
      <c r="H836" s="351"/>
      <c r="I836" s="456"/>
      <c r="J836" s="433"/>
      <c r="K836" s="353"/>
      <c r="L836" s="433"/>
    </row>
    <row r="837">
      <c r="A837" s="433"/>
      <c r="B837" s="456"/>
      <c r="C837" s="433"/>
      <c r="D837" s="433"/>
      <c r="E837" s="460"/>
      <c r="F837" s="351"/>
      <c r="G837" s="455"/>
      <c r="H837" s="351"/>
      <c r="I837" s="456"/>
      <c r="J837" s="433"/>
      <c r="K837" s="353"/>
      <c r="L837" s="433"/>
    </row>
    <row r="838">
      <c r="A838" s="433"/>
      <c r="B838" s="456"/>
      <c r="C838" s="433"/>
      <c r="D838" s="433"/>
      <c r="E838" s="460"/>
      <c r="F838" s="351"/>
      <c r="G838" s="455"/>
      <c r="H838" s="351"/>
      <c r="I838" s="456"/>
      <c r="J838" s="433"/>
      <c r="K838" s="353"/>
      <c r="L838" s="433"/>
    </row>
    <row r="839">
      <c r="A839" s="433"/>
      <c r="B839" s="456"/>
      <c r="C839" s="433"/>
      <c r="D839" s="433"/>
      <c r="E839" s="460"/>
      <c r="F839" s="351"/>
      <c r="G839" s="455"/>
      <c r="H839" s="351"/>
      <c r="I839" s="456"/>
      <c r="J839" s="433"/>
      <c r="K839" s="353"/>
      <c r="L839" s="433"/>
    </row>
    <row r="840">
      <c r="A840" s="433"/>
      <c r="B840" s="456"/>
      <c r="C840" s="433"/>
      <c r="D840" s="433"/>
      <c r="E840" s="460"/>
      <c r="F840" s="351"/>
      <c r="G840" s="455"/>
      <c r="H840" s="351"/>
      <c r="I840" s="456"/>
      <c r="J840" s="433"/>
      <c r="K840" s="353"/>
      <c r="L840" s="433"/>
    </row>
    <row r="841">
      <c r="A841" s="433"/>
      <c r="B841" s="456"/>
      <c r="C841" s="433"/>
      <c r="D841" s="433"/>
      <c r="E841" s="460"/>
      <c r="F841" s="351"/>
      <c r="G841" s="455"/>
      <c r="H841" s="351"/>
      <c r="I841" s="456"/>
      <c r="J841" s="433"/>
      <c r="K841" s="353"/>
      <c r="L841" s="433"/>
    </row>
    <row r="842">
      <c r="A842" s="433"/>
      <c r="B842" s="456"/>
      <c r="C842" s="433"/>
      <c r="D842" s="433"/>
      <c r="E842" s="460"/>
      <c r="F842" s="351"/>
      <c r="G842" s="455"/>
      <c r="H842" s="351"/>
      <c r="I842" s="456"/>
      <c r="J842" s="433"/>
      <c r="K842" s="353"/>
      <c r="L842" s="433"/>
    </row>
    <row r="843">
      <c r="A843" s="433"/>
      <c r="B843" s="456"/>
      <c r="C843" s="433"/>
      <c r="D843" s="433"/>
      <c r="E843" s="460"/>
      <c r="F843" s="351"/>
      <c r="G843" s="455"/>
      <c r="H843" s="351"/>
      <c r="I843" s="456"/>
      <c r="J843" s="433"/>
      <c r="K843" s="353"/>
      <c r="L843" s="433"/>
    </row>
    <row r="844">
      <c r="A844" s="433"/>
      <c r="B844" s="456"/>
      <c r="C844" s="433"/>
      <c r="D844" s="433"/>
      <c r="E844" s="460"/>
      <c r="F844" s="351"/>
      <c r="G844" s="455"/>
      <c r="H844" s="351"/>
      <c r="I844" s="456"/>
      <c r="J844" s="433"/>
      <c r="K844" s="353"/>
      <c r="L844" s="433"/>
    </row>
    <row r="845">
      <c r="A845" s="433"/>
      <c r="B845" s="456"/>
      <c r="C845" s="433"/>
      <c r="D845" s="433"/>
      <c r="E845" s="460"/>
      <c r="F845" s="351"/>
      <c r="G845" s="455"/>
      <c r="H845" s="351"/>
      <c r="I845" s="456"/>
      <c r="J845" s="433"/>
      <c r="K845" s="353"/>
      <c r="L845" s="433"/>
    </row>
    <row r="846">
      <c r="A846" s="433"/>
      <c r="B846" s="456"/>
      <c r="C846" s="433"/>
      <c r="D846" s="433"/>
      <c r="E846" s="460"/>
      <c r="F846" s="351"/>
      <c r="G846" s="455"/>
      <c r="H846" s="351"/>
      <c r="I846" s="456"/>
      <c r="J846" s="433"/>
      <c r="K846" s="353"/>
      <c r="L846" s="433"/>
    </row>
    <row r="847">
      <c r="A847" s="433"/>
      <c r="B847" s="456"/>
      <c r="C847" s="433"/>
      <c r="D847" s="433"/>
      <c r="E847" s="460"/>
      <c r="F847" s="351"/>
      <c r="G847" s="455"/>
      <c r="H847" s="351"/>
      <c r="I847" s="456"/>
      <c r="J847" s="433"/>
      <c r="K847" s="353"/>
      <c r="L847" s="433"/>
    </row>
    <row r="848">
      <c r="A848" s="433"/>
      <c r="B848" s="456"/>
      <c r="C848" s="433"/>
      <c r="D848" s="433"/>
      <c r="E848" s="460"/>
      <c r="F848" s="351"/>
      <c r="G848" s="455"/>
      <c r="H848" s="351"/>
      <c r="I848" s="456"/>
      <c r="J848" s="433"/>
      <c r="K848" s="353"/>
      <c r="L848" s="433"/>
    </row>
    <row r="849">
      <c r="A849" s="433"/>
      <c r="B849" s="456"/>
      <c r="C849" s="433"/>
      <c r="D849" s="433"/>
      <c r="E849" s="460"/>
      <c r="F849" s="351"/>
      <c r="G849" s="455"/>
      <c r="H849" s="351"/>
      <c r="I849" s="456"/>
      <c r="J849" s="433"/>
      <c r="K849" s="353"/>
      <c r="L849" s="433"/>
    </row>
    <row r="850">
      <c r="A850" s="433"/>
      <c r="B850" s="456"/>
      <c r="C850" s="433"/>
      <c r="D850" s="433"/>
      <c r="E850" s="460"/>
      <c r="F850" s="351"/>
      <c r="G850" s="455"/>
      <c r="H850" s="351"/>
      <c r="I850" s="456"/>
      <c r="J850" s="433"/>
      <c r="K850" s="353"/>
      <c r="L850" s="433"/>
    </row>
    <row r="851">
      <c r="A851" s="433"/>
      <c r="B851" s="456"/>
      <c r="C851" s="433"/>
      <c r="D851" s="433"/>
      <c r="E851" s="460"/>
      <c r="F851" s="351"/>
      <c r="G851" s="455"/>
      <c r="H851" s="351"/>
      <c r="I851" s="456"/>
      <c r="J851" s="433"/>
      <c r="K851" s="353"/>
      <c r="L851" s="433"/>
    </row>
    <row r="852">
      <c r="A852" s="433"/>
      <c r="B852" s="456"/>
      <c r="C852" s="433"/>
      <c r="D852" s="433"/>
      <c r="E852" s="460"/>
      <c r="F852" s="351"/>
      <c r="G852" s="455"/>
      <c r="H852" s="351"/>
      <c r="I852" s="456"/>
      <c r="J852" s="433"/>
      <c r="K852" s="353"/>
      <c r="L852" s="433"/>
    </row>
    <row r="853">
      <c r="A853" s="433"/>
      <c r="B853" s="456"/>
      <c r="C853" s="433"/>
      <c r="D853" s="433"/>
      <c r="E853" s="460"/>
      <c r="F853" s="351"/>
      <c r="G853" s="455"/>
      <c r="H853" s="351"/>
      <c r="I853" s="456"/>
      <c r="J853" s="433"/>
      <c r="K853" s="353"/>
      <c r="L853" s="433"/>
    </row>
    <row r="854">
      <c r="A854" s="433"/>
      <c r="B854" s="456"/>
      <c r="C854" s="433"/>
      <c r="D854" s="433"/>
      <c r="E854" s="460"/>
      <c r="F854" s="351"/>
      <c r="G854" s="455"/>
      <c r="H854" s="351"/>
      <c r="I854" s="456"/>
      <c r="J854" s="433"/>
      <c r="K854" s="353"/>
      <c r="L854" s="433"/>
    </row>
    <row r="855">
      <c r="A855" s="433"/>
      <c r="B855" s="456"/>
      <c r="C855" s="433"/>
      <c r="D855" s="433"/>
      <c r="E855" s="460"/>
      <c r="F855" s="351"/>
      <c r="G855" s="455"/>
      <c r="H855" s="351"/>
      <c r="I855" s="456"/>
      <c r="J855" s="433"/>
      <c r="K855" s="353"/>
      <c r="L855" s="433"/>
    </row>
    <row r="856">
      <c r="A856" s="433"/>
      <c r="B856" s="456"/>
      <c r="C856" s="433"/>
      <c r="D856" s="433"/>
      <c r="E856" s="460"/>
      <c r="F856" s="351"/>
      <c r="G856" s="455"/>
      <c r="H856" s="351"/>
      <c r="I856" s="456"/>
      <c r="J856" s="433"/>
      <c r="K856" s="353"/>
      <c r="L856" s="433"/>
    </row>
    <row r="857">
      <c r="A857" s="433"/>
      <c r="B857" s="456"/>
      <c r="C857" s="433"/>
      <c r="D857" s="433"/>
      <c r="E857" s="460"/>
      <c r="F857" s="351"/>
      <c r="G857" s="455"/>
      <c r="H857" s="351"/>
      <c r="I857" s="456"/>
      <c r="J857" s="433"/>
      <c r="K857" s="353"/>
      <c r="L857" s="433"/>
    </row>
    <row r="858">
      <c r="A858" s="433"/>
      <c r="B858" s="456"/>
      <c r="C858" s="433"/>
      <c r="D858" s="433"/>
      <c r="E858" s="460"/>
      <c r="F858" s="351"/>
      <c r="G858" s="455"/>
      <c r="H858" s="351"/>
      <c r="I858" s="456"/>
      <c r="J858" s="433"/>
      <c r="K858" s="353"/>
      <c r="L858" s="433"/>
    </row>
    <row r="859">
      <c r="A859" s="433"/>
      <c r="B859" s="456"/>
      <c r="C859" s="433"/>
      <c r="D859" s="433"/>
      <c r="E859" s="460"/>
      <c r="F859" s="351"/>
      <c r="G859" s="455"/>
      <c r="H859" s="351"/>
      <c r="I859" s="456"/>
      <c r="J859" s="433"/>
      <c r="K859" s="353"/>
      <c r="L859" s="433"/>
    </row>
    <row r="860">
      <c r="A860" s="433"/>
      <c r="B860" s="456"/>
      <c r="C860" s="433"/>
      <c r="D860" s="433"/>
      <c r="E860" s="460"/>
      <c r="F860" s="351"/>
      <c r="G860" s="455"/>
      <c r="H860" s="351"/>
      <c r="I860" s="456"/>
      <c r="J860" s="433"/>
      <c r="K860" s="353"/>
      <c r="L860" s="433"/>
    </row>
    <row r="861">
      <c r="A861" s="433"/>
      <c r="B861" s="456"/>
      <c r="C861" s="433"/>
      <c r="D861" s="433"/>
      <c r="E861" s="460"/>
      <c r="F861" s="351"/>
      <c r="G861" s="455"/>
      <c r="H861" s="351"/>
      <c r="I861" s="456"/>
      <c r="J861" s="433"/>
      <c r="K861" s="353"/>
      <c r="L861" s="433"/>
    </row>
    <row r="862">
      <c r="A862" s="433"/>
      <c r="B862" s="456"/>
      <c r="C862" s="433"/>
      <c r="D862" s="433"/>
      <c r="E862" s="460"/>
      <c r="F862" s="351"/>
      <c r="G862" s="455"/>
      <c r="H862" s="351"/>
      <c r="I862" s="456"/>
      <c r="J862" s="433"/>
      <c r="K862" s="353"/>
      <c r="L862" s="433"/>
    </row>
    <row r="863">
      <c r="A863" s="433"/>
      <c r="B863" s="456"/>
      <c r="C863" s="433"/>
      <c r="D863" s="433"/>
      <c r="E863" s="460"/>
      <c r="F863" s="351"/>
      <c r="G863" s="455"/>
      <c r="H863" s="351"/>
      <c r="I863" s="456"/>
      <c r="J863" s="433"/>
      <c r="K863" s="353"/>
      <c r="L863" s="433"/>
    </row>
    <row r="864">
      <c r="A864" s="433"/>
      <c r="B864" s="456"/>
      <c r="C864" s="433"/>
      <c r="D864" s="433"/>
      <c r="E864" s="460"/>
      <c r="F864" s="351"/>
      <c r="G864" s="455"/>
      <c r="H864" s="351"/>
      <c r="I864" s="456"/>
      <c r="J864" s="433"/>
      <c r="K864" s="353"/>
      <c r="L864" s="433"/>
    </row>
    <row r="865">
      <c r="A865" s="433"/>
      <c r="B865" s="456"/>
      <c r="C865" s="433"/>
      <c r="D865" s="433"/>
      <c r="E865" s="460"/>
      <c r="F865" s="351"/>
      <c r="G865" s="455"/>
      <c r="H865" s="351"/>
      <c r="I865" s="456"/>
      <c r="J865" s="433"/>
      <c r="K865" s="353"/>
      <c r="L865" s="433"/>
    </row>
    <row r="866">
      <c r="A866" s="433"/>
      <c r="B866" s="456"/>
      <c r="C866" s="433"/>
      <c r="D866" s="433"/>
      <c r="E866" s="460"/>
      <c r="F866" s="351"/>
      <c r="G866" s="455"/>
      <c r="H866" s="351"/>
      <c r="I866" s="456"/>
      <c r="J866" s="433"/>
      <c r="K866" s="353"/>
      <c r="L866" s="433"/>
    </row>
    <row r="867">
      <c r="A867" s="433"/>
      <c r="B867" s="456"/>
      <c r="C867" s="433"/>
      <c r="D867" s="433"/>
      <c r="E867" s="460"/>
      <c r="F867" s="351"/>
      <c r="G867" s="455"/>
      <c r="H867" s="351"/>
      <c r="I867" s="456"/>
      <c r="J867" s="433"/>
      <c r="K867" s="353"/>
      <c r="L867" s="433"/>
    </row>
    <row r="868">
      <c r="A868" s="433"/>
      <c r="B868" s="456"/>
      <c r="C868" s="433"/>
      <c r="D868" s="433"/>
      <c r="E868" s="460"/>
      <c r="F868" s="351"/>
      <c r="G868" s="455"/>
      <c r="H868" s="351"/>
      <c r="I868" s="456"/>
      <c r="J868" s="433"/>
      <c r="K868" s="353"/>
      <c r="L868" s="433"/>
    </row>
    <row r="869">
      <c r="A869" s="433"/>
      <c r="B869" s="456"/>
      <c r="C869" s="433"/>
      <c r="D869" s="433"/>
      <c r="E869" s="460"/>
      <c r="F869" s="351"/>
      <c r="G869" s="455"/>
      <c r="H869" s="351"/>
      <c r="I869" s="456"/>
      <c r="J869" s="433"/>
      <c r="K869" s="353"/>
      <c r="L869" s="433"/>
    </row>
    <row r="870">
      <c r="A870" s="433"/>
      <c r="B870" s="456"/>
      <c r="C870" s="433"/>
      <c r="D870" s="433"/>
      <c r="E870" s="460"/>
      <c r="F870" s="351"/>
      <c r="G870" s="455"/>
      <c r="H870" s="351"/>
      <c r="I870" s="456"/>
      <c r="J870" s="433"/>
      <c r="K870" s="353"/>
      <c r="L870" s="433"/>
    </row>
    <row r="871">
      <c r="A871" s="433"/>
      <c r="B871" s="456"/>
      <c r="C871" s="433"/>
      <c r="D871" s="433"/>
      <c r="E871" s="460"/>
      <c r="F871" s="351"/>
      <c r="G871" s="455"/>
      <c r="H871" s="351"/>
      <c r="I871" s="456"/>
      <c r="J871" s="433"/>
      <c r="K871" s="353"/>
      <c r="L871" s="433"/>
    </row>
    <row r="872">
      <c r="A872" s="433"/>
      <c r="B872" s="456"/>
      <c r="C872" s="433"/>
      <c r="D872" s="433"/>
      <c r="E872" s="460"/>
      <c r="F872" s="351"/>
      <c r="G872" s="455"/>
      <c r="H872" s="351"/>
      <c r="I872" s="456"/>
      <c r="J872" s="433"/>
      <c r="K872" s="353"/>
      <c r="L872" s="433"/>
    </row>
    <row r="873">
      <c r="A873" s="433"/>
      <c r="B873" s="456"/>
      <c r="C873" s="433"/>
      <c r="D873" s="433"/>
      <c r="E873" s="460"/>
      <c r="F873" s="351"/>
      <c r="G873" s="455"/>
      <c r="H873" s="351"/>
      <c r="I873" s="456"/>
      <c r="J873" s="433"/>
      <c r="K873" s="353"/>
      <c r="L873" s="433"/>
    </row>
    <row r="874">
      <c r="A874" s="433"/>
      <c r="B874" s="456"/>
      <c r="C874" s="433"/>
      <c r="D874" s="433"/>
      <c r="E874" s="460"/>
      <c r="F874" s="351"/>
      <c r="G874" s="455"/>
      <c r="H874" s="351"/>
      <c r="I874" s="456"/>
      <c r="J874" s="433"/>
      <c r="K874" s="353"/>
      <c r="L874" s="433"/>
    </row>
    <row r="875">
      <c r="A875" s="433"/>
      <c r="B875" s="456"/>
      <c r="C875" s="433"/>
      <c r="D875" s="433"/>
      <c r="E875" s="460"/>
      <c r="F875" s="351"/>
      <c r="G875" s="455"/>
      <c r="H875" s="351"/>
      <c r="I875" s="456"/>
      <c r="J875" s="433"/>
      <c r="K875" s="353"/>
      <c r="L875" s="433"/>
    </row>
    <row r="876">
      <c r="A876" s="433"/>
      <c r="B876" s="456"/>
      <c r="C876" s="433"/>
      <c r="D876" s="433"/>
      <c r="E876" s="460"/>
      <c r="F876" s="351"/>
      <c r="G876" s="455"/>
      <c r="H876" s="351"/>
      <c r="I876" s="456"/>
      <c r="J876" s="433"/>
      <c r="K876" s="353"/>
      <c r="L876" s="433"/>
    </row>
    <row r="877">
      <c r="A877" s="433"/>
      <c r="B877" s="456"/>
      <c r="C877" s="433"/>
      <c r="D877" s="433"/>
      <c r="E877" s="460"/>
      <c r="F877" s="351"/>
      <c r="G877" s="455"/>
      <c r="H877" s="351"/>
      <c r="I877" s="456"/>
      <c r="J877" s="433"/>
      <c r="K877" s="353"/>
      <c r="L877" s="433"/>
    </row>
    <row r="878">
      <c r="A878" s="433"/>
      <c r="B878" s="456"/>
      <c r="C878" s="433"/>
      <c r="D878" s="433"/>
      <c r="E878" s="460"/>
      <c r="F878" s="351"/>
      <c r="G878" s="455"/>
      <c r="H878" s="351"/>
      <c r="I878" s="456"/>
      <c r="J878" s="433"/>
      <c r="K878" s="353"/>
      <c r="L878" s="433"/>
    </row>
    <row r="879">
      <c r="A879" s="433"/>
      <c r="B879" s="456"/>
      <c r="C879" s="433"/>
      <c r="D879" s="433"/>
      <c r="E879" s="460"/>
      <c r="F879" s="351"/>
      <c r="G879" s="455"/>
      <c r="H879" s="351"/>
      <c r="I879" s="456"/>
      <c r="J879" s="433"/>
      <c r="K879" s="353"/>
      <c r="L879" s="433"/>
    </row>
    <row r="880">
      <c r="A880" s="433"/>
      <c r="B880" s="456"/>
      <c r="C880" s="433"/>
      <c r="D880" s="433"/>
      <c r="E880" s="460"/>
      <c r="F880" s="351"/>
      <c r="G880" s="455"/>
      <c r="H880" s="351"/>
      <c r="I880" s="456"/>
      <c r="J880" s="433"/>
      <c r="K880" s="353"/>
      <c r="L880" s="433"/>
    </row>
    <row r="881">
      <c r="A881" s="433"/>
      <c r="B881" s="456"/>
      <c r="C881" s="433"/>
      <c r="D881" s="433"/>
      <c r="E881" s="460"/>
      <c r="F881" s="351"/>
      <c r="G881" s="455"/>
      <c r="H881" s="351"/>
      <c r="I881" s="456"/>
      <c r="J881" s="433"/>
      <c r="K881" s="353"/>
      <c r="L881" s="433"/>
    </row>
    <row r="882">
      <c r="A882" s="433"/>
      <c r="B882" s="456"/>
      <c r="C882" s="433"/>
      <c r="D882" s="433"/>
      <c r="E882" s="460"/>
      <c r="F882" s="351"/>
      <c r="G882" s="455"/>
      <c r="H882" s="351"/>
      <c r="I882" s="456"/>
      <c r="J882" s="433"/>
      <c r="K882" s="353"/>
      <c r="L882" s="433"/>
    </row>
    <row r="883">
      <c r="A883" s="433"/>
      <c r="B883" s="456"/>
      <c r="C883" s="433"/>
      <c r="D883" s="433"/>
      <c r="E883" s="460"/>
      <c r="F883" s="351"/>
      <c r="G883" s="455"/>
      <c r="H883" s="351"/>
      <c r="I883" s="456"/>
      <c r="J883" s="433"/>
      <c r="K883" s="353"/>
      <c r="L883" s="433"/>
    </row>
    <row r="884">
      <c r="A884" s="433"/>
      <c r="B884" s="456"/>
      <c r="C884" s="433"/>
      <c r="D884" s="433"/>
      <c r="E884" s="460"/>
      <c r="F884" s="351"/>
      <c r="G884" s="455"/>
      <c r="H884" s="351"/>
      <c r="I884" s="456"/>
      <c r="J884" s="433"/>
      <c r="K884" s="353"/>
      <c r="L884" s="433"/>
    </row>
    <row r="885">
      <c r="A885" s="433"/>
      <c r="B885" s="456"/>
      <c r="C885" s="433"/>
      <c r="D885" s="433"/>
      <c r="E885" s="460"/>
      <c r="F885" s="351"/>
      <c r="G885" s="455"/>
      <c r="H885" s="351"/>
      <c r="I885" s="456"/>
      <c r="J885" s="433"/>
      <c r="K885" s="353"/>
      <c r="L885" s="433"/>
    </row>
    <row r="886">
      <c r="A886" s="433"/>
      <c r="B886" s="456"/>
      <c r="C886" s="433"/>
      <c r="D886" s="433"/>
      <c r="E886" s="460"/>
      <c r="F886" s="351"/>
      <c r="G886" s="455"/>
      <c r="H886" s="351"/>
      <c r="I886" s="456"/>
      <c r="J886" s="433"/>
      <c r="K886" s="353"/>
      <c r="L886" s="433"/>
    </row>
    <row r="887">
      <c r="A887" s="433"/>
      <c r="B887" s="456"/>
      <c r="C887" s="433"/>
      <c r="D887" s="433"/>
      <c r="E887" s="460"/>
      <c r="F887" s="351"/>
      <c r="G887" s="455"/>
      <c r="H887" s="351"/>
      <c r="I887" s="456"/>
      <c r="J887" s="433"/>
      <c r="K887" s="353"/>
      <c r="L887" s="433"/>
    </row>
    <row r="888">
      <c r="A888" s="433"/>
      <c r="B888" s="456"/>
      <c r="C888" s="433"/>
      <c r="D888" s="433"/>
      <c r="E888" s="460"/>
      <c r="F888" s="351"/>
      <c r="G888" s="455"/>
      <c r="H888" s="351"/>
      <c r="I888" s="456"/>
      <c r="J888" s="433"/>
      <c r="K888" s="353"/>
      <c r="L888" s="433"/>
    </row>
    <row r="889">
      <c r="A889" s="433"/>
      <c r="B889" s="456"/>
      <c r="C889" s="433"/>
      <c r="D889" s="433"/>
      <c r="E889" s="460"/>
      <c r="F889" s="351"/>
      <c r="G889" s="455"/>
      <c r="H889" s="351"/>
      <c r="I889" s="456"/>
      <c r="J889" s="433"/>
      <c r="K889" s="353"/>
      <c r="L889" s="433"/>
    </row>
    <row r="890">
      <c r="A890" s="433"/>
      <c r="B890" s="456"/>
      <c r="C890" s="433"/>
      <c r="D890" s="433"/>
      <c r="E890" s="460"/>
      <c r="F890" s="351"/>
      <c r="G890" s="455"/>
      <c r="H890" s="351"/>
      <c r="I890" s="456"/>
      <c r="J890" s="433"/>
      <c r="K890" s="353"/>
      <c r="L890" s="433"/>
    </row>
    <row r="891">
      <c r="A891" s="433"/>
      <c r="B891" s="456"/>
      <c r="C891" s="433"/>
      <c r="D891" s="433"/>
      <c r="E891" s="460"/>
      <c r="F891" s="351"/>
      <c r="G891" s="455"/>
      <c r="H891" s="351"/>
      <c r="I891" s="456"/>
      <c r="J891" s="433"/>
      <c r="K891" s="353"/>
      <c r="L891" s="433"/>
    </row>
    <row r="892">
      <c r="A892" s="433"/>
      <c r="B892" s="456"/>
      <c r="C892" s="433"/>
      <c r="D892" s="433"/>
      <c r="E892" s="460"/>
      <c r="F892" s="351"/>
      <c r="G892" s="455"/>
      <c r="H892" s="351"/>
      <c r="I892" s="456"/>
      <c r="J892" s="433"/>
      <c r="K892" s="353"/>
      <c r="L892" s="433"/>
    </row>
    <row r="893">
      <c r="A893" s="433"/>
      <c r="B893" s="456"/>
      <c r="C893" s="433"/>
      <c r="D893" s="433"/>
      <c r="E893" s="460"/>
      <c r="F893" s="351"/>
      <c r="G893" s="455"/>
      <c r="H893" s="351"/>
      <c r="I893" s="456"/>
      <c r="J893" s="433"/>
      <c r="K893" s="353"/>
      <c r="L893" s="433"/>
    </row>
    <row r="894">
      <c r="A894" s="433"/>
      <c r="B894" s="456"/>
      <c r="C894" s="433"/>
      <c r="D894" s="433"/>
      <c r="E894" s="460"/>
      <c r="F894" s="351"/>
      <c r="G894" s="455"/>
      <c r="H894" s="351"/>
      <c r="I894" s="456"/>
      <c r="J894" s="433"/>
      <c r="K894" s="353"/>
      <c r="L894" s="433"/>
    </row>
    <row r="895">
      <c r="A895" s="433"/>
      <c r="B895" s="456"/>
      <c r="C895" s="433"/>
      <c r="D895" s="433"/>
      <c r="E895" s="460"/>
      <c r="F895" s="351"/>
      <c r="G895" s="455"/>
      <c r="H895" s="351"/>
      <c r="I895" s="456"/>
      <c r="J895" s="433"/>
      <c r="K895" s="353"/>
      <c r="L895" s="433"/>
    </row>
    <row r="896">
      <c r="A896" s="433"/>
      <c r="B896" s="456"/>
      <c r="C896" s="433"/>
      <c r="D896" s="433"/>
      <c r="E896" s="460"/>
      <c r="F896" s="351"/>
      <c r="G896" s="455"/>
      <c r="H896" s="351"/>
      <c r="I896" s="456"/>
      <c r="J896" s="433"/>
      <c r="K896" s="353"/>
      <c r="L896" s="433"/>
    </row>
    <row r="897">
      <c r="A897" s="433"/>
      <c r="B897" s="456"/>
      <c r="C897" s="433"/>
      <c r="D897" s="433"/>
      <c r="E897" s="460"/>
      <c r="F897" s="351"/>
      <c r="G897" s="455"/>
      <c r="H897" s="351"/>
      <c r="I897" s="456"/>
      <c r="J897" s="433"/>
      <c r="K897" s="353"/>
      <c r="L897" s="433"/>
    </row>
    <row r="898">
      <c r="A898" s="433"/>
      <c r="B898" s="456"/>
      <c r="C898" s="433"/>
      <c r="D898" s="433"/>
      <c r="E898" s="460"/>
      <c r="F898" s="351"/>
      <c r="G898" s="455"/>
      <c r="H898" s="351"/>
      <c r="I898" s="456"/>
      <c r="J898" s="433"/>
      <c r="K898" s="353"/>
      <c r="L898" s="433"/>
    </row>
    <row r="899">
      <c r="A899" s="433"/>
      <c r="B899" s="456"/>
      <c r="C899" s="433"/>
      <c r="D899" s="433"/>
      <c r="E899" s="460"/>
      <c r="F899" s="351"/>
      <c r="G899" s="455"/>
      <c r="H899" s="351"/>
      <c r="I899" s="456"/>
      <c r="J899" s="433"/>
      <c r="K899" s="353"/>
      <c r="L899" s="433"/>
    </row>
    <row r="900">
      <c r="A900" s="433"/>
      <c r="B900" s="456"/>
      <c r="C900" s="433"/>
      <c r="D900" s="433"/>
      <c r="E900" s="460"/>
      <c r="F900" s="351"/>
      <c r="G900" s="455"/>
      <c r="H900" s="351"/>
      <c r="I900" s="456"/>
      <c r="J900" s="433"/>
      <c r="K900" s="353"/>
      <c r="L900" s="433"/>
    </row>
    <row r="901">
      <c r="A901" s="433"/>
      <c r="B901" s="456"/>
      <c r="C901" s="433"/>
      <c r="D901" s="433"/>
      <c r="E901" s="460"/>
      <c r="F901" s="351"/>
      <c r="G901" s="455"/>
      <c r="H901" s="351"/>
      <c r="I901" s="456"/>
      <c r="J901" s="433"/>
      <c r="K901" s="353"/>
      <c r="L901" s="433"/>
    </row>
    <row r="902">
      <c r="A902" s="433"/>
      <c r="B902" s="456"/>
      <c r="C902" s="433"/>
      <c r="D902" s="433"/>
      <c r="E902" s="460"/>
      <c r="F902" s="351"/>
      <c r="G902" s="455"/>
      <c r="H902" s="351"/>
      <c r="I902" s="456"/>
      <c r="J902" s="433"/>
      <c r="K902" s="353"/>
      <c r="L902" s="433"/>
    </row>
    <row r="903">
      <c r="A903" s="433"/>
      <c r="B903" s="456"/>
      <c r="C903" s="433"/>
      <c r="D903" s="433"/>
      <c r="E903" s="460"/>
      <c r="F903" s="351"/>
      <c r="G903" s="455"/>
      <c r="H903" s="351"/>
      <c r="I903" s="456"/>
      <c r="J903" s="433"/>
      <c r="K903" s="353"/>
      <c r="L903" s="433"/>
    </row>
    <row r="904">
      <c r="A904" s="433"/>
      <c r="B904" s="456"/>
      <c r="C904" s="433"/>
      <c r="D904" s="433"/>
      <c r="E904" s="460"/>
      <c r="F904" s="351"/>
      <c r="G904" s="455"/>
      <c r="H904" s="351"/>
      <c r="I904" s="456"/>
      <c r="J904" s="433"/>
      <c r="K904" s="353"/>
      <c r="L904" s="433"/>
    </row>
    <row r="905">
      <c r="A905" s="433"/>
      <c r="B905" s="456"/>
      <c r="C905" s="433"/>
      <c r="D905" s="433"/>
      <c r="E905" s="460"/>
      <c r="F905" s="351"/>
      <c r="G905" s="455"/>
      <c r="H905" s="351"/>
      <c r="I905" s="456"/>
      <c r="J905" s="433"/>
      <c r="K905" s="353"/>
      <c r="L905" s="433"/>
    </row>
    <row r="906">
      <c r="A906" s="433"/>
      <c r="B906" s="456"/>
      <c r="C906" s="433"/>
      <c r="D906" s="433"/>
      <c r="E906" s="460"/>
      <c r="F906" s="351"/>
      <c r="G906" s="455"/>
      <c r="H906" s="351"/>
      <c r="I906" s="456"/>
      <c r="J906" s="433"/>
      <c r="K906" s="353"/>
      <c r="L906" s="433"/>
    </row>
    <row r="907">
      <c r="A907" s="433"/>
      <c r="B907" s="456"/>
      <c r="C907" s="433"/>
      <c r="D907" s="433"/>
      <c r="E907" s="460"/>
      <c r="F907" s="351"/>
      <c r="G907" s="455"/>
      <c r="H907" s="351"/>
      <c r="I907" s="456"/>
      <c r="J907" s="433"/>
      <c r="K907" s="353"/>
      <c r="L907" s="433"/>
    </row>
    <row r="908">
      <c r="A908" s="433"/>
      <c r="B908" s="456"/>
      <c r="C908" s="433"/>
      <c r="D908" s="433"/>
      <c r="E908" s="460"/>
      <c r="F908" s="351"/>
      <c r="G908" s="455"/>
      <c r="H908" s="351"/>
      <c r="I908" s="456"/>
      <c r="J908" s="433"/>
      <c r="K908" s="353"/>
      <c r="L908" s="433"/>
    </row>
    <row r="909">
      <c r="A909" s="433"/>
      <c r="B909" s="456"/>
      <c r="C909" s="433"/>
      <c r="D909" s="433"/>
      <c r="E909" s="460"/>
      <c r="F909" s="351"/>
      <c r="G909" s="455"/>
      <c r="H909" s="351"/>
      <c r="I909" s="456"/>
      <c r="J909" s="433"/>
      <c r="K909" s="353"/>
      <c r="L909" s="433"/>
    </row>
    <row r="910">
      <c r="A910" s="433"/>
      <c r="B910" s="456"/>
      <c r="C910" s="433"/>
      <c r="D910" s="433"/>
      <c r="E910" s="460"/>
      <c r="F910" s="351"/>
      <c r="G910" s="455"/>
      <c r="H910" s="351"/>
      <c r="I910" s="456"/>
      <c r="J910" s="433"/>
      <c r="K910" s="353"/>
      <c r="L910" s="433"/>
    </row>
    <row r="911">
      <c r="A911" s="433"/>
      <c r="B911" s="456"/>
      <c r="C911" s="433"/>
      <c r="D911" s="433"/>
      <c r="E911" s="460"/>
      <c r="F911" s="351"/>
      <c r="G911" s="455"/>
      <c r="H911" s="351"/>
      <c r="I911" s="456"/>
      <c r="J911" s="433"/>
      <c r="K911" s="353"/>
      <c r="L911" s="433"/>
    </row>
    <row r="912">
      <c r="A912" s="433"/>
      <c r="B912" s="456"/>
      <c r="C912" s="433"/>
      <c r="D912" s="433"/>
      <c r="E912" s="460"/>
      <c r="F912" s="351"/>
      <c r="G912" s="455"/>
      <c r="H912" s="351"/>
      <c r="I912" s="456"/>
      <c r="J912" s="433"/>
      <c r="K912" s="353"/>
      <c r="L912" s="433"/>
    </row>
    <row r="913">
      <c r="A913" s="433"/>
      <c r="B913" s="456"/>
      <c r="C913" s="433"/>
      <c r="D913" s="433"/>
      <c r="E913" s="460"/>
      <c r="F913" s="351"/>
      <c r="G913" s="455"/>
      <c r="H913" s="351"/>
      <c r="I913" s="456"/>
      <c r="J913" s="433"/>
      <c r="K913" s="353"/>
      <c r="L913" s="433"/>
    </row>
    <row r="914">
      <c r="A914" s="433"/>
      <c r="B914" s="456"/>
      <c r="C914" s="433"/>
      <c r="D914" s="433"/>
      <c r="E914" s="460"/>
      <c r="F914" s="351"/>
      <c r="G914" s="455"/>
      <c r="H914" s="351"/>
      <c r="I914" s="456"/>
      <c r="J914" s="433"/>
      <c r="K914" s="353"/>
      <c r="L914" s="433"/>
    </row>
    <row r="915">
      <c r="A915" s="433"/>
      <c r="B915" s="456"/>
      <c r="C915" s="433"/>
      <c r="D915" s="433"/>
      <c r="E915" s="460"/>
      <c r="F915" s="351"/>
      <c r="G915" s="455"/>
      <c r="H915" s="351"/>
      <c r="I915" s="456"/>
      <c r="J915" s="433"/>
      <c r="K915" s="353"/>
      <c r="L915" s="433"/>
    </row>
    <row r="916">
      <c r="A916" s="433"/>
      <c r="B916" s="456"/>
      <c r="C916" s="433"/>
      <c r="D916" s="433"/>
      <c r="E916" s="460"/>
      <c r="F916" s="351"/>
      <c r="G916" s="455"/>
      <c r="H916" s="351"/>
      <c r="I916" s="456"/>
      <c r="J916" s="433"/>
      <c r="K916" s="353"/>
      <c r="L916" s="433"/>
    </row>
    <row r="917">
      <c r="A917" s="433"/>
      <c r="B917" s="456"/>
      <c r="C917" s="433"/>
      <c r="D917" s="433"/>
      <c r="E917" s="460"/>
      <c r="F917" s="351"/>
      <c r="G917" s="455"/>
      <c r="H917" s="351"/>
      <c r="I917" s="456"/>
      <c r="J917" s="433"/>
      <c r="K917" s="353"/>
      <c r="L917" s="433"/>
    </row>
    <row r="918">
      <c r="A918" s="433"/>
      <c r="B918" s="456"/>
      <c r="C918" s="433"/>
      <c r="D918" s="433"/>
      <c r="E918" s="460"/>
      <c r="F918" s="351"/>
      <c r="G918" s="455"/>
      <c r="H918" s="351"/>
      <c r="I918" s="456"/>
      <c r="J918" s="433"/>
      <c r="K918" s="353"/>
      <c r="L918" s="433"/>
    </row>
    <row r="919">
      <c r="A919" s="433"/>
      <c r="B919" s="456"/>
      <c r="C919" s="433"/>
      <c r="D919" s="433"/>
      <c r="E919" s="460"/>
      <c r="F919" s="351"/>
      <c r="G919" s="455"/>
      <c r="H919" s="351"/>
      <c r="I919" s="456"/>
      <c r="J919" s="433"/>
      <c r="K919" s="353"/>
      <c r="L919" s="433"/>
    </row>
    <row r="920">
      <c r="A920" s="433"/>
      <c r="B920" s="456"/>
      <c r="C920" s="433"/>
      <c r="D920" s="433"/>
      <c r="E920" s="460"/>
      <c r="F920" s="351"/>
      <c r="G920" s="455"/>
      <c r="H920" s="351"/>
      <c r="I920" s="456"/>
      <c r="J920" s="433"/>
      <c r="K920" s="353"/>
      <c r="L920" s="433"/>
    </row>
    <row r="921">
      <c r="A921" s="433"/>
      <c r="B921" s="456"/>
      <c r="C921" s="433"/>
      <c r="D921" s="433"/>
      <c r="E921" s="460"/>
      <c r="F921" s="351"/>
      <c r="G921" s="455"/>
      <c r="H921" s="351"/>
      <c r="I921" s="456"/>
      <c r="J921" s="433"/>
      <c r="K921" s="353"/>
      <c r="L921" s="433"/>
    </row>
    <row r="922">
      <c r="A922" s="433"/>
      <c r="B922" s="456"/>
      <c r="C922" s="433"/>
      <c r="D922" s="433"/>
      <c r="E922" s="460"/>
      <c r="F922" s="351"/>
      <c r="G922" s="455"/>
      <c r="H922" s="351"/>
      <c r="I922" s="456"/>
      <c r="J922" s="433"/>
      <c r="K922" s="353"/>
      <c r="L922" s="433"/>
    </row>
    <row r="923">
      <c r="A923" s="433"/>
      <c r="B923" s="456"/>
      <c r="C923" s="433"/>
      <c r="D923" s="433"/>
      <c r="E923" s="460"/>
      <c r="F923" s="351"/>
      <c r="G923" s="455"/>
      <c r="H923" s="351"/>
      <c r="I923" s="456"/>
      <c r="J923" s="433"/>
      <c r="K923" s="353"/>
      <c r="L923" s="433"/>
    </row>
    <row r="924">
      <c r="A924" s="433"/>
      <c r="B924" s="456"/>
      <c r="C924" s="433"/>
      <c r="D924" s="433"/>
      <c r="E924" s="460"/>
      <c r="F924" s="351"/>
      <c r="G924" s="455"/>
      <c r="H924" s="351"/>
      <c r="I924" s="456"/>
      <c r="J924" s="433"/>
      <c r="K924" s="353"/>
      <c r="L924" s="433"/>
    </row>
    <row r="925">
      <c r="A925" s="433"/>
      <c r="B925" s="456"/>
      <c r="C925" s="433"/>
      <c r="D925" s="433"/>
      <c r="E925" s="460"/>
      <c r="F925" s="351"/>
      <c r="G925" s="455"/>
      <c r="H925" s="351"/>
      <c r="I925" s="456"/>
      <c r="J925" s="433"/>
      <c r="K925" s="353"/>
      <c r="L925" s="433"/>
    </row>
    <row r="926">
      <c r="A926" s="433"/>
      <c r="B926" s="456"/>
      <c r="C926" s="433"/>
      <c r="D926" s="433"/>
      <c r="E926" s="460"/>
      <c r="F926" s="351"/>
      <c r="G926" s="455"/>
      <c r="H926" s="351"/>
      <c r="I926" s="456"/>
      <c r="J926" s="433"/>
      <c r="K926" s="353"/>
      <c r="L926" s="433"/>
    </row>
    <row r="927">
      <c r="A927" s="433"/>
      <c r="B927" s="456"/>
      <c r="C927" s="433"/>
      <c r="D927" s="433"/>
      <c r="E927" s="460"/>
      <c r="F927" s="351"/>
      <c r="G927" s="455"/>
      <c r="H927" s="351"/>
      <c r="I927" s="456"/>
      <c r="J927" s="433"/>
      <c r="K927" s="353"/>
      <c r="L927" s="433"/>
    </row>
    <row r="928">
      <c r="A928" s="433"/>
      <c r="B928" s="456"/>
      <c r="C928" s="433"/>
      <c r="D928" s="433"/>
      <c r="E928" s="460"/>
      <c r="F928" s="351"/>
      <c r="G928" s="455"/>
      <c r="H928" s="351"/>
      <c r="I928" s="456"/>
      <c r="J928" s="433"/>
      <c r="K928" s="353"/>
      <c r="L928" s="433"/>
    </row>
    <row r="929">
      <c r="A929" s="433"/>
      <c r="B929" s="456"/>
      <c r="C929" s="433"/>
      <c r="D929" s="433"/>
      <c r="E929" s="460"/>
      <c r="F929" s="351"/>
      <c r="G929" s="455"/>
      <c r="H929" s="351"/>
      <c r="I929" s="456"/>
      <c r="J929" s="433"/>
      <c r="K929" s="353"/>
      <c r="L929" s="433"/>
    </row>
    <row r="930">
      <c r="A930" s="433"/>
      <c r="B930" s="456"/>
      <c r="C930" s="433"/>
      <c r="D930" s="433"/>
      <c r="E930" s="460"/>
      <c r="F930" s="351"/>
      <c r="G930" s="455"/>
      <c r="H930" s="351"/>
      <c r="I930" s="456"/>
      <c r="J930" s="433"/>
      <c r="K930" s="353"/>
      <c r="L930" s="433"/>
    </row>
    <row r="931">
      <c r="A931" s="433"/>
      <c r="B931" s="456"/>
      <c r="C931" s="433"/>
      <c r="D931" s="433"/>
      <c r="E931" s="460"/>
      <c r="F931" s="351"/>
      <c r="G931" s="455"/>
      <c r="H931" s="351"/>
      <c r="I931" s="456"/>
      <c r="J931" s="433"/>
      <c r="K931" s="353"/>
      <c r="L931" s="433"/>
    </row>
    <row r="932">
      <c r="A932" s="433"/>
      <c r="B932" s="456"/>
      <c r="C932" s="433"/>
      <c r="D932" s="433"/>
      <c r="E932" s="460"/>
      <c r="F932" s="351"/>
      <c r="G932" s="455"/>
      <c r="H932" s="351"/>
      <c r="I932" s="456"/>
      <c r="J932" s="433"/>
      <c r="K932" s="353"/>
      <c r="L932" s="433"/>
    </row>
    <row r="933">
      <c r="A933" s="433"/>
      <c r="B933" s="456"/>
      <c r="C933" s="433"/>
      <c r="D933" s="433"/>
      <c r="E933" s="460"/>
      <c r="F933" s="351"/>
      <c r="G933" s="455"/>
      <c r="H933" s="351"/>
      <c r="I933" s="456"/>
      <c r="J933" s="433"/>
      <c r="K933" s="353"/>
      <c r="L933" s="433"/>
    </row>
    <row r="934">
      <c r="A934" s="433"/>
      <c r="B934" s="456"/>
      <c r="C934" s="433"/>
      <c r="D934" s="433"/>
      <c r="E934" s="460"/>
      <c r="F934" s="351"/>
      <c r="G934" s="455"/>
      <c r="H934" s="351"/>
      <c r="I934" s="456"/>
      <c r="J934" s="433"/>
      <c r="K934" s="353"/>
      <c r="L934" s="433"/>
    </row>
    <row r="935">
      <c r="A935" s="433"/>
      <c r="B935" s="456"/>
      <c r="C935" s="433"/>
      <c r="D935" s="433"/>
      <c r="E935" s="460"/>
      <c r="F935" s="351"/>
      <c r="G935" s="455"/>
      <c r="H935" s="351"/>
      <c r="I935" s="456"/>
      <c r="J935" s="433"/>
      <c r="K935" s="353"/>
      <c r="L935" s="433"/>
    </row>
    <row r="936">
      <c r="A936" s="433"/>
      <c r="B936" s="456"/>
      <c r="C936" s="433"/>
      <c r="D936" s="433"/>
      <c r="E936" s="460"/>
      <c r="F936" s="351"/>
      <c r="G936" s="455"/>
      <c r="H936" s="351"/>
      <c r="I936" s="456"/>
      <c r="J936" s="433"/>
      <c r="K936" s="353"/>
      <c r="L936" s="433"/>
    </row>
    <row r="937">
      <c r="A937" s="433"/>
      <c r="B937" s="456"/>
      <c r="C937" s="433"/>
      <c r="D937" s="433"/>
      <c r="E937" s="460"/>
      <c r="F937" s="351"/>
      <c r="G937" s="455"/>
      <c r="H937" s="351"/>
      <c r="I937" s="456"/>
      <c r="J937" s="433"/>
      <c r="K937" s="353"/>
      <c r="L937" s="433"/>
    </row>
    <row r="938">
      <c r="A938" s="433"/>
      <c r="B938" s="456"/>
      <c r="C938" s="433"/>
      <c r="D938" s="433"/>
      <c r="E938" s="460"/>
      <c r="F938" s="351"/>
      <c r="G938" s="455"/>
      <c r="H938" s="351"/>
      <c r="I938" s="456"/>
      <c r="J938" s="433"/>
      <c r="K938" s="353"/>
      <c r="L938" s="433"/>
    </row>
    <row r="939">
      <c r="A939" s="433"/>
      <c r="B939" s="456"/>
      <c r="C939" s="433"/>
      <c r="D939" s="433"/>
      <c r="E939" s="460"/>
      <c r="F939" s="351"/>
      <c r="G939" s="455"/>
      <c r="H939" s="351"/>
      <c r="I939" s="456"/>
      <c r="J939" s="433"/>
      <c r="K939" s="353"/>
      <c r="L939" s="433"/>
    </row>
    <row r="940">
      <c r="A940" s="433"/>
      <c r="B940" s="456"/>
      <c r="C940" s="433"/>
      <c r="D940" s="433"/>
      <c r="E940" s="460"/>
      <c r="F940" s="351"/>
      <c r="G940" s="455"/>
      <c r="H940" s="351"/>
      <c r="I940" s="456"/>
      <c r="J940" s="433"/>
      <c r="K940" s="353"/>
      <c r="L940" s="433"/>
    </row>
    <row r="941">
      <c r="A941" s="433"/>
      <c r="B941" s="456"/>
      <c r="C941" s="433"/>
      <c r="D941" s="433"/>
      <c r="E941" s="460"/>
      <c r="F941" s="351"/>
      <c r="G941" s="455"/>
      <c r="H941" s="351"/>
      <c r="I941" s="456"/>
      <c r="J941" s="433"/>
      <c r="K941" s="353"/>
      <c r="L941" s="433"/>
    </row>
    <row r="942">
      <c r="A942" s="433"/>
      <c r="B942" s="456"/>
      <c r="C942" s="433"/>
      <c r="D942" s="433"/>
      <c r="E942" s="460"/>
      <c r="F942" s="351"/>
      <c r="G942" s="455"/>
      <c r="H942" s="351"/>
      <c r="I942" s="456"/>
      <c r="J942" s="433"/>
      <c r="K942" s="353"/>
      <c r="L942" s="433"/>
    </row>
    <row r="943">
      <c r="A943" s="433"/>
      <c r="B943" s="456"/>
      <c r="C943" s="433"/>
      <c r="D943" s="433"/>
      <c r="E943" s="460"/>
      <c r="F943" s="351"/>
      <c r="G943" s="455"/>
      <c r="H943" s="351"/>
      <c r="I943" s="456"/>
      <c r="J943" s="433"/>
      <c r="K943" s="353"/>
      <c r="L943" s="433"/>
    </row>
    <row r="944">
      <c r="A944" s="433"/>
      <c r="B944" s="456"/>
      <c r="C944" s="433"/>
      <c r="D944" s="433"/>
      <c r="E944" s="460"/>
      <c r="F944" s="351"/>
      <c r="G944" s="455"/>
      <c r="H944" s="351"/>
      <c r="I944" s="456"/>
      <c r="J944" s="433"/>
      <c r="K944" s="353"/>
      <c r="L944" s="433"/>
    </row>
    <row r="945">
      <c r="A945" s="433"/>
      <c r="B945" s="456"/>
      <c r="C945" s="433"/>
      <c r="D945" s="433"/>
      <c r="E945" s="460"/>
      <c r="F945" s="351"/>
      <c r="G945" s="455"/>
      <c r="H945" s="351"/>
      <c r="I945" s="456"/>
      <c r="J945" s="433"/>
      <c r="K945" s="353"/>
      <c r="L945" s="433"/>
    </row>
    <row r="946">
      <c r="A946" s="433"/>
      <c r="B946" s="456"/>
      <c r="C946" s="433"/>
      <c r="D946" s="433"/>
      <c r="E946" s="460"/>
      <c r="F946" s="351"/>
      <c r="G946" s="455"/>
      <c r="H946" s="351"/>
      <c r="I946" s="456"/>
      <c r="J946" s="433"/>
      <c r="K946" s="353"/>
      <c r="L946" s="433"/>
    </row>
    <row r="947">
      <c r="A947" s="433"/>
      <c r="B947" s="456"/>
      <c r="C947" s="433"/>
      <c r="D947" s="433"/>
      <c r="E947" s="460"/>
      <c r="F947" s="351"/>
      <c r="G947" s="455"/>
      <c r="H947" s="351"/>
      <c r="I947" s="456"/>
      <c r="J947" s="433"/>
      <c r="K947" s="353"/>
      <c r="L947" s="433"/>
    </row>
    <row r="948">
      <c r="A948" s="433"/>
      <c r="B948" s="456"/>
      <c r="C948" s="433"/>
      <c r="D948" s="433"/>
      <c r="E948" s="460"/>
      <c r="F948" s="351"/>
      <c r="G948" s="455"/>
      <c r="H948" s="351"/>
      <c r="I948" s="456"/>
      <c r="J948" s="433"/>
      <c r="K948" s="353"/>
      <c r="L948" s="433"/>
    </row>
    <row r="949">
      <c r="A949" s="433"/>
      <c r="B949" s="456"/>
      <c r="C949" s="433"/>
      <c r="D949" s="433"/>
      <c r="E949" s="460"/>
      <c r="F949" s="351"/>
      <c r="G949" s="455"/>
      <c r="H949" s="351"/>
      <c r="I949" s="456"/>
      <c r="J949" s="433"/>
      <c r="K949" s="353"/>
      <c r="L949" s="433"/>
    </row>
    <row r="950">
      <c r="A950" s="433"/>
      <c r="B950" s="456"/>
      <c r="C950" s="433"/>
      <c r="D950" s="433"/>
      <c r="E950" s="460"/>
      <c r="F950" s="351"/>
      <c r="G950" s="455"/>
      <c r="H950" s="351"/>
      <c r="I950" s="456"/>
      <c r="J950" s="433"/>
      <c r="K950" s="353"/>
      <c r="L950" s="433"/>
    </row>
    <row r="951">
      <c r="A951" s="433"/>
      <c r="B951" s="456"/>
      <c r="C951" s="433"/>
      <c r="D951" s="433"/>
      <c r="E951" s="460"/>
      <c r="F951" s="351"/>
      <c r="G951" s="455"/>
      <c r="H951" s="351"/>
      <c r="I951" s="456"/>
      <c r="J951" s="433"/>
      <c r="K951" s="353"/>
      <c r="L951" s="433"/>
    </row>
    <row r="952">
      <c r="A952" s="433"/>
      <c r="B952" s="456"/>
      <c r="C952" s="433"/>
      <c r="D952" s="433"/>
      <c r="E952" s="460"/>
      <c r="F952" s="351"/>
      <c r="G952" s="455"/>
      <c r="H952" s="351"/>
      <c r="I952" s="456"/>
      <c r="J952" s="433"/>
      <c r="K952" s="353"/>
      <c r="L952" s="433"/>
    </row>
    <row r="953">
      <c r="A953" s="433"/>
      <c r="B953" s="456"/>
      <c r="C953" s="433"/>
      <c r="D953" s="433"/>
      <c r="E953" s="460"/>
      <c r="F953" s="351"/>
      <c r="G953" s="455"/>
      <c r="H953" s="351"/>
      <c r="I953" s="456"/>
      <c r="J953" s="433"/>
      <c r="K953" s="353"/>
      <c r="L953" s="433"/>
    </row>
    <row r="954">
      <c r="A954" s="433"/>
      <c r="B954" s="456"/>
      <c r="C954" s="433"/>
      <c r="D954" s="433"/>
      <c r="E954" s="460"/>
      <c r="F954" s="351"/>
      <c r="G954" s="455"/>
      <c r="H954" s="351"/>
      <c r="I954" s="456"/>
      <c r="J954" s="433"/>
      <c r="K954" s="353"/>
      <c r="L954" s="433"/>
    </row>
    <row r="955">
      <c r="A955" s="433"/>
      <c r="B955" s="456"/>
      <c r="C955" s="433"/>
      <c r="D955" s="433"/>
      <c r="E955" s="460"/>
      <c r="F955" s="351"/>
      <c r="G955" s="455"/>
      <c r="H955" s="351"/>
      <c r="I955" s="456"/>
      <c r="J955" s="433"/>
      <c r="K955" s="353"/>
      <c r="L955" s="433"/>
    </row>
    <row r="956">
      <c r="A956" s="433"/>
      <c r="B956" s="456"/>
      <c r="C956" s="433"/>
      <c r="D956" s="433"/>
      <c r="E956" s="460"/>
      <c r="F956" s="351"/>
      <c r="G956" s="455"/>
      <c r="H956" s="351"/>
      <c r="I956" s="456"/>
      <c r="J956" s="433"/>
      <c r="K956" s="353"/>
      <c r="L956" s="433"/>
    </row>
    <row r="957">
      <c r="A957" s="433"/>
      <c r="B957" s="456"/>
      <c r="C957" s="433"/>
      <c r="D957" s="433"/>
      <c r="E957" s="460"/>
      <c r="F957" s="351"/>
      <c r="G957" s="455"/>
      <c r="H957" s="351"/>
      <c r="I957" s="456"/>
      <c r="J957" s="433"/>
      <c r="K957" s="353"/>
      <c r="L957" s="433"/>
    </row>
    <row r="958">
      <c r="A958" s="433"/>
      <c r="B958" s="456"/>
      <c r="C958" s="433"/>
      <c r="D958" s="433"/>
      <c r="E958" s="460"/>
      <c r="F958" s="351"/>
      <c r="G958" s="455"/>
      <c r="H958" s="351"/>
      <c r="I958" s="456"/>
      <c r="J958" s="433"/>
      <c r="K958" s="353"/>
      <c r="L958" s="433"/>
    </row>
    <row r="959">
      <c r="A959" s="433"/>
      <c r="B959" s="456"/>
      <c r="C959" s="433"/>
      <c r="D959" s="433"/>
      <c r="E959" s="460"/>
      <c r="F959" s="351"/>
      <c r="G959" s="455"/>
      <c r="H959" s="351"/>
      <c r="I959" s="456"/>
      <c r="J959" s="433"/>
      <c r="K959" s="353"/>
      <c r="L959" s="433"/>
    </row>
    <row r="960">
      <c r="A960" s="433"/>
      <c r="B960" s="456"/>
      <c r="C960" s="433"/>
      <c r="D960" s="433"/>
      <c r="E960" s="460"/>
      <c r="F960" s="351"/>
      <c r="G960" s="455"/>
      <c r="H960" s="351"/>
      <c r="I960" s="456"/>
      <c r="J960" s="433"/>
      <c r="K960" s="353"/>
      <c r="L960" s="433"/>
    </row>
    <row r="961">
      <c r="A961" s="433"/>
      <c r="B961" s="456"/>
      <c r="C961" s="433"/>
      <c r="D961" s="433"/>
      <c r="E961" s="460"/>
      <c r="F961" s="351"/>
      <c r="G961" s="455"/>
      <c r="H961" s="351"/>
      <c r="I961" s="456"/>
      <c r="J961" s="433"/>
      <c r="K961" s="353"/>
      <c r="L961" s="433"/>
    </row>
    <row r="962">
      <c r="A962" s="433"/>
      <c r="B962" s="456"/>
      <c r="C962" s="433"/>
      <c r="D962" s="433"/>
      <c r="E962" s="460"/>
      <c r="F962" s="351"/>
      <c r="G962" s="455"/>
      <c r="H962" s="351"/>
      <c r="I962" s="456"/>
      <c r="J962" s="433"/>
      <c r="K962" s="353"/>
      <c r="L962" s="433"/>
    </row>
    <row r="963">
      <c r="A963" s="433"/>
      <c r="B963" s="456"/>
      <c r="C963" s="433"/>
      <c r="D963" s="433"/>
      <c r="E963" s="460"/>
      <c r="F963" s="351"/>
      <c r="G963" s="455"/>
      <c r="H963" s="351"/>
      <c r="I963" s="456"/>
      <c r="J963" s="433"/>
      <c r="K963" s="353"/>
      <c r="L963" s="433"/>
    </row>
    <row r="964">
      <c r="A964" s="433"/>
      <c r="B964" s="456"/>
      <c r="C964" s="433"/>
      <c r="D964" s="433"/>
      <c r="E964" s="460"/>
      <c r="F964" s="351"/>
      <c r="G964" s="455"/>
      <c r="H964" s="351"/>
      <c r="I964" s="456"/>
      <c r="J964" s="433"/>
      <c r="K964" s="353"/>
      <c r="L964" s="433"/>
    </row>
    <row r="965">
      <c r="A965" s="433"/>
      <c r="B965" s="456"/>
      <c r="C965" s="433"/>
      <c r="D965" s="433"/>
      <c r="E965" s="460"/>
      <c r="F965" s="351"/>
      <c r="G965" s="455"/>
      <c r="H965" s="351"/>
      <c r="I965" s="456"/>
      <c r="J965" s="433"/>
      <c r="K965" s="353"/>
      <c r="L965" s="433"/>
    </row>
    <row r="966">
      <c r="A966" s="433"/>
      <c r="B966" s="456"/>
      <c r="C966" s="433"/>
      <c r="D966" s="433"/>
      <c r="E966" s="460"/>
      <c r="F966" s="351"/>
      <c r="G966" s="455"/>
      <c r="H966" s="351"/>
      <c r="I966" s="456"/>
      <c r="J966" s="433"/>
      <c r="K966" s="353"/>
      <c r="L966" s="433"/>
    </row>
    <row r="967">
      <c r="A967" s="433"/>
      <c r="B967" s="456"/>
      <c r="C967" s="433"/>
      <c r="D967" s="433"/>
      <c r="E967" s="460"/>
      <c r="F967" s="351"/>
      <c r="G967" s="455"/>
      <c r="H967" s="351"/>
      <c r="I967" s="456"/>
      <c r="J967" s="433"/>
      <c r="K967" s="353"/>
      <c r="L967" s="433"/>
    </row>
    <row r="968">
      <c r="A968" s="433"/>
      <c r="B968" s="456"/>
      <c r="C968" s="433"/>
      <c r="D968" s="433"/>
      <c r="E968" s="460"/>
      <c r="F968" s="351"/>
      <c r="G968" s="455"/>
      <c r="H968" s="351"/>
      <c r="I968" s="456"/>
      <c r="J968" s="433"/>
      <c r="K968" s="353"/>
      <c r="L968" s="433"/>
    </row>
    <row r="969">
      <c r="A969" s="433"/>
      <c r="B969" s="456"/>
      <c r="C969" s="433"/>
      <c r="D969" s="433"/>
      <c r="E969" s="460"/>
      <c r="F969" s="351"/>
      <c r="G969" s="455"/>
      <c r="H969" s="351"/>
      <c r="I969" s="456"/>
      <c r="J969" s="433"/>
      <c r="K969" s="353"/>
      <c r="L969" s="433"/>
    </row>
    <row r="970">
      <c r="A970" s="433"/>
      <c r="B970" s="456"/>
      <c r="C970" s="433"/>
      <c r="D970" s="433"/>
      <c r="E970" s="460"/>
      <c r="F970" s="351"/>
      <c r="G970" s="455"/>
      <c r="H970" s="351"/>
      <c r="I970" s="456"/>
      <c r="J970" s="433"/>
      <c r="K970" s="353"/>
      <c r="L970" s="433"/>
    </row>
    <row r="971">
      <c r="A971" s="433"/>
      <c r="B971" s="456"/>
      <c r="C971" s="433"/>
      <c r="D971" s="433"/>
      <c r="E971" s="460"/>
      <c r="F971" s="351"/>
      <c r="G971" s="455"/>
      <c r="H971" s="351"/>
      <c r="I971" s="456"/>
      <c r="J971" s="433"/>
      <c r="K971" s="353"/>
      <c r="L971" s="433"/>
    </row>
    <row r="972">
      <c r="A972" s="433"/>
      <c r="B972" s="456"/>
      <c r="C972" s="433"/>
      <c r="D972" s="433"/>
      <c r="E972" s="460"/>
      <c r="F972" s="351"/>
      <c r="G972" s="455"/>
      <c r="H972" s="351"/>
      <c r="I972" s="456"/>
      <c r="J972" s="433"/>
      <c r="K972" s="353"/>
      <c r="L972" s="433"/>
    </row>
    <row r="973">
      <c r="A973" s="433"/>
      <c r="B973" s="456"/>
      <c r="C973" s="433"/>
      <c r="D973" s="433"/>
      <c r="E973" s="460"/>
      <c r="F973" s="351"/>
      <c r="G973" s="455"/>
      <c r="H973" s="351"/>
      <c r="I973" s="456"/>
      <c r="J973" s="433"/>
      <c r="K973" s="353"/>
      <c r="L973" s="433"/>
    </row>
    <row r="974">
      <c r="A974" s="433"/>
      <c r="B974" s="456"/>
      <c r="C974" s="433"/>
      <c r="D974" s="433"/>
      <c r="E974" s="460"/>
      <c r="F974" s="351"/>
      <c r="G974" s="455"/>
      <c r="H974" s="351"/>
      <c r="I974" s="456"/>
      <c r="J974" s="433"/>
      <c r="K974" s="353"/>
      <c r="L974" s="433"/>
    </row>
    <row r="975">
      <c r="A975" s="433"/>
      <c r="B975" s="456"/>
      <c r="C975" s="433"/>
      <c r="D975" s="433"/>
      <c r="E975" s="460"/>
      <c r="F975" s="351"/>
      <c r="G975" s="455"/>
      <c r="H975" s="351"/>
      <c r="I975" s="456"/>
      <c r="J975" s="433"/>
      <c r="K975" s="353"/>
      <c r="L975" s="433"/>
    </row>
    <row r="976">
      <c r="A976" s="433"/>
      <c r="B976" s="456"/>
      <c r="C976" s="433"/>
      <c r="D976" s="433"/>
      <c r="E976" s="460"/>
      <c r="F976" s="351"/>
      <c r="G976" s="455"/>
      <c r="H976" s="351"/>
      <c r="I976" s="456"/>
      <c r="J976" s="433"/>
      <c r="K976" s="353"/>
      <c r="L976" s="433"/>
    </row>
    <row r="977">
      <c r="A977" s="433"/>
      <c r="B977" s="456"/>
      <c r="C977" s="433"/>
      <c r="D977" s="433"/>
      <c r="E977" s="460"/>
      <c r="F977" s="351"/>
      <c r="G977" s="455"/>
      <c r="H977" s="351"/>
      <c r="I977" s="456"/>
      <c r="J977" s="433"/>
      <c r="K977" s="353"/>
      <c r="L977" s="433"/>
    </row>
    <row r="978">
      <c r="A978" s="433"/>
      <c r="B978" s="456"/>
      <c r="C978" s="433"/>
      <c r="D978" s="433"/>
      <c r="E978" s="460"/>
      <c r="F978" s="351"/>
      <c r="G978" s="455"/>
      <c r="H978" s="351"/>
      <c r="I978" s="456"/>
      <c r="J978" s="433"/>
      <c r="K978" s="353"/>
      <c r="L978" s="433"/>
    </row>
    <row r="979">
      <c r="A979" s="433"/>
      <c r="B979" s="456"/>
      <c r="C979" s="433"/>
      <c r="D979" s="433"/>
      <c r="E979" s="460"/>
      <c r="F979" s="351"/>
      <c r="G979" s="455"/>
      <c r="H979" s="351"/>
      <c r="I979" s="456"/>
      <c r="J979" s="433"/>
      <c r="K979" s="353"/>
      <c r="L979" s="433"/>
    </row>
    <row r="980">
      <c r="A980" s="433"/>
      <c r="B980" s="456"/>
      <c r="C980" s="433"/>
      <c r="D980" s="433"/>
      <c r="E980" s="460"/>
      <c r="F980" s="351"/>
      <c r="G980" s="455"/>
      <c r="H980" s="351"/>
      <c r="I980" s="456"/>
      <c r="J980" s="433"/>
      <c r="K980" s="353"/>
      <c r="L980" s="433"/>
    </row>
    <row r="981">
      <c r="A981" s="433"/>
      <c r="B981" s="456"/>
      <c r="C981" s="433"/>
      <c r="D981" s="433"/>
      <c r="E981" s="460"/>
      <c r="F981" s="351"/>
      <c r="G981" s="455"/>
      <c r="H981" s="351"/>
      <c r="I981" s="456"/>
      <c r="J981" s="433"/>
      <c r="K981" s="353"/>
      <c r="L981" s="433"/>
    </row>
    <row r="982">
      <c r="A982" s="433"/>
      <c r="B982" s="456"/>
      <c r="C982" s="433"/>
      <c r="D982" s="433"/>
      <c r="E982" s="460"/>
      <c r="F982" s="351"/>
      <c r="G982" s="455"/>
      <c r="H982" s="351"/>
      <c r="I982" s="456"/>
      <c r="J982" s="433"/>
      <c r="K982" s="353"/>
      <c r="L982" s="433"/>
    </row>
    <row r="983">
      <c r="A983" s="433"/>
      <c r="B983" s="456"/>
      <c r="C983" s="433"/>
      <c r="D983" s="433"/>
      <c r="E983" s="460"/>
      <c r="F983" s="351"/>
      <c r="G983" s="455"/>
      <c r="H983" s="351"/>
      <c r="I983" s="456"/>
      <c r="J983" s="433"/>
      <c r="K983" s="353"/>
      <c r="L983" s="433"/>
    </row>
    <row r="984">
      <c r="A984" s="433"/>
      <c r="B984" s="456"/>
      <c r="C984" s="433"/>
      <c r="D984" s="433"/>
      <c r="E984" s="460"/>
      <c r="F984" s="351"/>
      <c r="G984" s="455"/>
      <c r="H984" s="351"/>
      <c r="I984" s="456"/>
      <c r="J984" s="433"/>
      <c r="K984" s="353"/>
      <c r="L984" s="433"/>
    </row>
    <row r="985">
      <c r="A985" s="433"/>
      <c r="B985" s="456"/>
      <c r="C985" s="433"/>
      <c r="D985" s="433"/>
      <c r="E985" s="460"/>
      <c r="F985" s="351"/>
      <c r="G985" s="455"/>
      <c r="H985" s="351"/>
      <c r="I985" s="456"/>
      <c r="J985" s="433"/>
      <c r="K985" s="353"/>
      <c r="L985" s="433"/>
    </row>
    <row r="986">
      <c r="A986" s="433"/>
      <c r="B986" s="456"/>
      <c r="C986" s="433"/>
      <c r="D986" s="433"/>
      <c r="E986" s="460"/>
      <c r="F986" s="351"/>
      <c r="G986" s="455"/>
      <c r="H986" s="351"/>
      <c r="I986" s="456"/>
      <c r="J986" s="433"/>
      <c r="K986" s="353"/>
      <c r="L986" s="433"/>
    </row>
    <row r="987">
      <c r="A987" s="433"/>
      <c r="B987" s="456"/>
      <c r="C987" s="433"/>
      <c r="D987" s="433"/>
      <c r="E987" s="460"/>
      <c r="F987" s="351"/>
      <c r="G987" s="455"/>
      <c r="H987" s="351"/>
      <c r="I987" s="456"/>
      <c r="J987" s="433"/>
      <c r="K987" s="353"/>
      <c r="L987" s="433"/>
    </row>
    <row r="988">
      <c r="A988" s="433"/>
      <c r="B988" s="456"/>
      <c r="C988" s="433"/>
      <c r="D988" s="433"/>
      <c r="E988" s="460"/>
      <c r="F988" s="351"/>
      <c r="G988" s="455"/>
      <c r="H988" s="351"/>
      <c r="I988" s="456"/>
      <c r="J988" s="433"/>
      <c r="K988" s="353"/>
      <c r="L988" s="433"/>
    </row>
    <row r="989">
      <c r="A989" s="433"/>
      <c r="B989" s="456"/>
      <c r="C989" s="433"/>
      <c r="D989" s="433"/>
      <c r="E989" s="460"/>
      <c r="F989" s="351"/>
      <c r="G989" s="455"/>
      <c r="H989" s="351"/>
      <c r="I989" s="456"/>
      <c r="J989" s="433"/>
      <c r="K989" s="353"/>
      <c r="L989" s="433"/>
    </row>
    <row r="990">
      <c r="A990" s="433"/>
      <c r="B990" s="456"/>
      <c r="C990" s="433"/>
      <c r="D990" s="433"/>
      <c r="E990" s="460"/>
      <c r="F990" s="351"/>
      <c r="G990" s="455"/>
      <c r="H990" s="351"/>
      <c r="I990" s="456"/>
      <c r="J990" s="433"/>
      <c r="K990" s="353"/>
      <c r="L990" s="433"/>
    </row>
    <row r="991">
      <c r="A991" s="433"/>
      <c r="B991" s="456"/>
      <c r="C991" s="433"/>
      <c r="D991" s="433"/>
      <c r="E991" s="460"/>
      <c r="F991" s="351"/>
      <c r="G991" s="455"/>
      <c r="H991" s="351"/>
      <c r="I991" s="456"/>
      <c r="J991" s="433"/>
      <c r="K991" s="353"/>
      <c r="L991" s="433"/>
    </row>
    <row r="992">
      <c r="A992" s="433"/>
      <c r="B992" s="456"/>
      <c r="C992" s="433"/>
      <c r="D992" s="433"/>
      <c r="E992" s="460"/>
      <c r="F992" s="351"/>
      <c r="G992" s="455"/>
      <c r="H992" s="351"/>
      <c r="I992" s="456"/>
      <c r="J992" s="433"/>
      <c r="K992" s="353"/>
      <c r="L992" s="433"/>
    </row>
    <row r="993">
      <c r="A993" s="433"/>
      <c r="B993" s="456"/>
      <c r="C993" s="433"/>
      <c r="D993" s="433"/>
      <c r="E993" s="460"/>
      <c r="F993" s="351"/>
      <c r="G993" s="455"/>
      <c r="H993" s="351"/>
      <c r="I993" s="456"/>
      <c r="J993" s="433"/>
      <c r="K993" s="353"/>
      <c r="L993" s="433"/>
    </row>
    <row r="994">
      <c r="A994" s="433"/>
      <c r="B994" s="456"/>
      <c r="C994" s="433"/>
      <c r="D994" s="433"/>
      <c r="E994" s="460"/>
      <c r="F994" s="351"/>
      <c r="G994" s="455"/>
      <c r="H994" s="351"/>
      <c r="I994" s="456"/>
      <c r="J994" s="433"/>
      <c r="K994" s="353"/>
      <c r="L994" s="433"/>
    </row>
    <row r="995">
      <c r="A995" s="433"/>
      <c r="B995" s="456"/>
      <c r="C995" s="433"/>
      <c r="D995" s="433"/>
      <c r="E995" s="460"/>
      <c r="F995" s="351"/>
      <c r="G995" s="455"/>
      <c r="H995" s="351"/>
      <c r="I995" s="456"/>
      <c r="J995" s="433"/>
      <c r="K995" s="353"/>
      <c r="L995" s="433"/>
    </row>
    <row r="996">
      <c r="A996" s="433"/>
      <c r="B996" s="456"/>
      <c r="C996" s="433"/>
      <c r="D996" s="433"/>
      <c r="E996" s="460"/>
      <c r="F996" s="351"/>
      <c r="G996" s="455"/>
      <c r="H996" s="351"/>
      <c r="I996" s="456"/>
      <c r="J996" s="433"/>
      <c r="K996" s="353"/>
      <c r="L996" s="433"/>
    </row>
    <row r="997">
      <c r="A997" s="433"/>
      <c r="B997" s="456"/>
      <c r="C997" s="433"/>
      <c r="D997" s="433"/>
      <c r="E997" s="460"/>
      <c r="F997" s="351"/>
      <c r="G997" s="455"/>
      <c r="H997" s="351"/>
      <c r="I997" s="456"/>
      <c r="J997" s="433"/>
      <c r="K997" s="353"/>
      <c r="L997" s="433"/>
    </row>
    <row r="998">
      <c r="A998" s="433"/>
      <c r="B998" s="456"/>
      <c r="C998" s="433"/>
      <c r="D998" s="433"/>
      <c r="E998" s="460"/>
      <c r="F998" s="351"/>
      <c r="G998" s="455"/>
      <c r="H998" s="351"/>
      <c r="I998" s="456"/>
      <c r="J998" s="433"/>
      <c r="K998" s="353"/>
      <c r="L998" s="433"/>
    </row>
    <row r="999">
      <c r="A999" s="433"/>
      <c r="B999" s="456"/>
      <c r="C999" s="433"/>
      <c r="D999" s="433"/>
      <c r="E999" s="460"/>
      <c r="F999" s="351"/>
      <c r="G999" s="455"/>
      <c r="H999" s="351"/>
      <c r="I999" s="456"/>
      <c r="J999" s="433"/>
      <c r="K999" s="353"/>
      <c r="L999" s="433"/>
    </row>
    <row r="1000">
      <c r="A1000" s="433"/>
      <c r="B1000" s="456"/>
      <c r="C1000" s="433"/>
      <c r="D1000" s="433"/>
      <c r="E1000" s="460"/>
      <c r="F1000" s="351"/>
      <c r="G1000" s="455"/>
      <c r="H1000" s="351"/>
      <c r="I1000" s="456"/>
      <c r="J1000" s="433"/>
      <c r="K1000" s="353"/>
      <c r="L1000" s="433"/>
    </row>
    <row r="1001">
      <c r="A1001" s="433"/>
      <c r="B1001" s="456"/>
      <c r="C1001" s="433"/>
      <c r="D1001" s="433"/>
      <c r="E1001" s="460"/>
      <c r="F1001" s="351"/>
      <c r="G1001" s="455"/>
      <c r="H1001" s="351"/>
      <c r="I1001" s="456"/>
      <c r="J1001" s="433"/>
      <c r="K1001" s="353"/>
      <c r="L1001" s="433"/>
    </row>
    <row r="1002">
      <c r="A1002" s="433"/>
      <c r="B1002" s="456"/>
      <c r="C1002" s="433"/>
      <c r="D1002" s="433"/>
      <c r="E1002" s="461"/>
      <c r="F1002" s="433"/>
      <c r="G1002" s="456"/>
      <c r="H1002" s="433"/>
      <c r="I1002" s="456"/>
      <c r="J1002" s="433"/>
      <c r="K1002" s="462"/>
      <c r="L1002" s="433"/>
    </row>
  </sheetData>
  <mergeCells count="12">
    <mergeCell ref="A83:A119"/>
    <mergeCell ref="A121:A137"/>
    <mergeCell ref="A139:A156"/>
    <mergeCell ref="A158:A238"/>
    <mergeCell ref="A240:A247"/>
    <mergeCell ref="A1:E1"/>
    <mergeCell ref="I1:J1"/>
    <mergeCell ref="L1:L2"/>
    <mergeCell ref="A3:A23"/>
    <mergeCell ref="A25:A44"/>
    <mergeCell ref="A46:A54"/>
    <mergeCell ref="A56:A81"/>
  </mergeCells>
  <conditionalFormatting sqref="H239">
    <cfRule type="containsText" dxfId="9" priority="1" operator="containsText" text="Nee">
      <formula>NOT(ISERROR(SEARCH(("Nee"),(H239))))</formula>
    </cfRule>
  </conditionalFormatting>
  <conditionalFormatting sqref="J239:K239">
    <cfRule type="containsText" dxfId="10" priority="2" operator="containsText" text="Aangenomen">
      <formula>NOT(ISERROR(SEARCH(("Aangenomen"),(J239))))</formula>
    </cfRule>
  </conditionalFormatting>
  <conditionalFormatting sqref="J239:K239">
    <cfRule type="containsText" dxfId="11" priority="3" operator="containsText" text="Afgewezen">
      <formula>NOT(ISERROR(SEARCH(("Afgewezen"),(J239))))</formula>
    </cfRule>
  </conditionalFormatting>
  <conditionalFormatting sqref="J239:K239">
    <cfRule type="containsText" dxfId="8" priority="4" operator="containsText" text="In afwachting">
      <formula>NOT(ISERROR(SEARCH(("In afwachting"),(J239))))</formula>
    </cfRule>
  </conditionalFormatting>
  <conditionalFormatting sqref="H239">
    <cfRule type="containsText" dxfId="10" priority="5" operator="containsText" text="Aangen.">
      <formula>NOT(ISERROR(SEARCH(("Aangen."),(H239))))</formula>
    </cfRule>
  </conditionalFormatting>
  <conditionalFormatting sqref="H239">
    <cfRule type="containsText" dxfId="11" priority="6" operator="containsText" text="Afgew.">
      <formula>NOT(ISERROR(SEARCH(("Afgew."),(H239))))</formula>
    </cfRule>
  </conditionalFormatting>
  <conditionalFormatting sqref="H239">
    <cfRule type="containsText" dxfId="8" priority="7" operator="containsText" text="In afw.">
      <formula>NOT(ISERROR(SEARCH(("In afw."),(H239))))</formula>
    </cfRule>
  </conditionalFormatting>
  <conditionalFormatting sqref="C126:D126 C128:D128 C134:D135 C139:D139 C147:D147 C149:D149 C161:D175 C177:D178 C180:D184 C188:D188 C193:D193 C195:D195 C197:D199 C203:D204 C208:D211 C221:D221 C223:D223 C234:D234 C236:D236">
    <cfRule type="containsText" dxfId="2" priority="8" operator="containsText" text="SO">
      <formula>NOT(ISERROR(SEARCH(("SO"),(C126))))</formula>
    </cfRule>
  </conditionalFormatting>
  <conditionalFormatting sqref="C126:D126 C128:D128 C134:D135 C139:D139 C147:D147 C149:D149 C161:D175 C177:D178 C180:D184 C188:D188 C193:D193 C195:D195 C197:D199 C203:D204 C208:D211 C221:D221 C223:D223 C234:D234 C236:D236">
    <cfRule type="containsText" dxfId="3" priority="9" operator="containsText" text="tegen">
      <formula>NOT(ISERROR(SEARCH(("tegen"),(C126))))</formula>
    </cfRule>
  </conditionalFormatting>
  <conditionalFormatting sqref="C126:D126 C128:D128 C134:D135 C139:D139 C147:D147 C149:D149 C161:D175 C177:D178 C180:D184 C188:D188 C193:D193 C195:D195 C197:D199 C203:D204 C208:D211 C221:D221 C223:D223 C234:D234 C236:D236">
    <cfRule type="containsText" dxfId="4" priority="10" operator="containsText" text="voor">
      <formula>NOT(ISERROR(SEARCH(("voor"),(C126))))</formula>
    </cfRule>
  </conditionalFormatting>
  <conditionalFormatting sqref="C126:D126 C128:D128 C134:D135 C139:D139 C147:D147 C149:D149 C161:D175 C177:D178 C180:D184 C188:D188 C193:D193 C195:D195 C197:D199 C203:D204 C208:D211 C221:D221 C223:D223 C234:D234 C236:D236">
    <cfRule type="cellIs" dxfId="5" priority="11" operator="equal">
      <formula>"NG"</formula>
    </cfRule>
  </conditionalFormatting>
  <conditionalFormatting sqref="C126:D126 C128:D128 C134:D135 C139:D139 C147:D147 C149:D149 C161:D175 C177:D178 C180:D184 C188:D188 C193:D193 C195:D195 C197:D199 C203:D204 C208:D211 C221:D221 C223:D223 C234:D234 C236:D236">
    <cfRule type="containsText" dxfId="6" priority="12" operator="containsText" text="NVT">
      <formula>NOT(ISERROR(SEARCH(("NVT"),(C126))))</formula>
    </cfRule>
  </conditionalFormatting>
  <conditionalFormatting sqref="C28:D28 C31:D31 C34:D34 C43:D43 D47 C62:D62 C97:D97 C156:D156">
    <cfRule type="containsText" dxfId="0" priority="13" operator="containsText" text="voor">
      <formula>NOT(ISERROR(SEARCH(("voor"),(C28))))</formula>
    </cfRule>
  </conditionalFormatting>
  <conditionalFormatting sqref="C28:D28 C31:D31 C34:D34 C43:D43 D47 C62:D62 C97:D97 C156:D156">
    <cfRule type="containsText" dxfId="1" priority="14" operator="containsText" text="tegen">
      <formula>NOT(ISERROR(SEARCH(("tegen"),(C28))))</formula>
    </cfRule>
  </conditionalFormatting>
  <conditionalFormatting sqref="G1:G1002">
    <cfRule type="containsText" dxfId="12" priority="15" operator="containsText" text="Aangenomen">
      <formula>NOT(ISERROR(SEARCH(("Aangenomen"),(G1))))</formula>
    </cfRule>
  </conditionalFormatting>
  <conditionalFormatting sqref="G1:G1002">
    <cfRule type="containsText" dxfId="13" priority="16" operator="containsText" text="Afgewezen">
      <formula>NOT(ISERROR(SEARCH(("Afgewezen"),(G1))))</formula>
    </cfRule>
  </conditionalFormatting>
  <conditionalFormatting sqref="G1:G1002">
    <cfRule type="containsText" dxfId="14" priority="17" operator="containsText" text="In afwachting">
      <formula>NOT(ISERROR(SEARCH(("In afwachting"),(G1))))</formula>
    </cfRule>
  </conditionalFormatting>
  <conditionalFormatting sqref="J1:J119 J121:J1002 G154 I192 G222">
    <cfRule type="containsText" dxfId="11" priority="18" operator="containsText" text="Nee">
      <formula>NOT(ISERROR(SEARCH(("Nee"),(J1))))</formula>
    </cfRule>
  </conditionalFormatting>
  <conditionalFormatting sqref="J1:J119 J121:J1002 G154 I192 G222 H239">
    <cfRule type="containsText" dxfId="10" priority="19" operator="containsText" text="Ja">
      <formula>NOT(ISERROR(SEARCH(("Ja"),(J1))))</formula>
    </cfRule>
  </conditionalFormatting>
  <conditionalFormatting sqref="J1:J119 J121:J1002 G154 I192 G222 G239:I239 K239">
    <cfRule type="containsText" dxfId="6" priority="20" operator="containsText" text="NVT">
      <formula>NOT(ISERROR(SEARCH(("NVT"),(J1))))</formula>
    </cfRule>
  </conditionalFormatting>
  <hyperlinks>
    <hyperlink r:id="rId2" ref="J148"/>
    <hyperlink r:id="rId3" ref="J152"/>
    <hyperlink r:id="rId4" ref="J158"/>
    <hyperlink r:id="rId5" ref="E159"/>
    <hyperlink r:id="rId6" ref="E160"/>
    <hyperlink r:id="rId7" ref="E161"/>
    <hyperlink r:id="rId8" ref="E162"/>
    <hyperlink r:id="rId9" ref="E163"/>
    <hyperlink r:id="rId10" ref="E164"/>
    <hyperlink r:id="rId11" ref="E165"/>
    <hyperlink r:id="rId12" ref="E166"/>
    <hyperlink r:id="rId13" ref="E167"/>
    <hyperlink r:id="rId14" ref="E168"/>
    <hyperlink r:id="rId15" ref="E169"/>
    <hyperlink r:id="rId16" ref="E170"/>
    <hyperlink r:id="rId17" ref="J170"/>
    <hyperlink r:id="rId18" ref="E171"/>
    <hyperlink r:id="rId19" ref="E172"/>
    <hyperlink r:id="rId20" ref="E173"/>
    <hyperlink r:id="rId21" ref="E174"/>
    <hyperlink r:id="rId22" ref="J174"/>
    <hyperlink r:id="rId23" ref="E175"/>
    <hyperlink r:id="rId24" ref="E176"/>
    <hyperlink r:id="rId25" ref="E177"/>
    <hyperlink r:id="rId26" ref="J177"/>
    <hyperlink r:id="rId27" ref="E178"/>
    <hyperlink r:id="rId28" ref="J181"/>
    <hyperlink r:id="rId29" ref="J184"/>
    <hyperlink r:id="rId30" ref="E186"/>
    <hyperlink r:id="rId31" ref="E187"/>
    <hyperlink r:id="rId32" ref="J187"/>
    <hyperlink r:id="rId33" ref="E188"/>
    <hyperlink r:id="rId34" ref="J188"/>
    <hyperlink r:id="rId35" ref="E189"/>
    <hyperlink r:id="rId36" ref="J189"/>
    <hyperlink r:id="rId37" ref="E190"/>
    <hyperlink r:id="rId38" ref="E191"/>
    <hyperlink r:id="rId39" ref="E192"/>
    <hyperlink r:id="rId40" ref="E193"/>
    <hyperlink r:id="rId41" ref="E194"/>
    <hyperlink r:id="rId42" ref="E195"/>
    <hyperlink r:id="rId43" ref="E196"/>
    <hyperlink r:id="rId44" ref="J196"/>
    <hyperlink r:id="rId45" ref="E197"/>
    <hyperlink r:id="rId46" ref="E198"/>
    <hyperlink r:id="rId47" ref="J198"/>
    <hyperlink r:id="rId48" ref="E199"/>
    <hyperlink r:id="rId49" ref="J199"/>
    <hyperlink r:id="rId50" ref="E200"/>
    <hyperlink r:id="rId51" ref="E201"/>
    <hyperlink r:id="rId52" ref="J201"/>
    <hyperlink r:id="rId53" ref="E202"/>
    <hyperlink r:id="rId54" ref="J202"/>
    <hyperlink r:id="rId55" ref="E203"/>
    <hyperlink r:id="rId56" ref="J203"/>
    <hyperlink r:id="rId57" ref="E204"/>
    <hyperlink r:id="rId58" ref="J204"/>
    <hyperlink r:id="rId59" ref="E205"/>
    <hyperlink r:id="rId60" ref="E206"/>
    <hyperlink r:id="rId61" ref="E207"/>
    <hyperlink r:id="rId62" ref="E208"/>
    <hyperlink r:id="rId63" ref="J208"/>
    <hyperlink r:id="rId64" ref="E209"/>
    <hyperlink r:id="rId65" ref="J209"/>
    <hyperlink r:id="rId66" ref="E210"/>
    <hyperlink r:id="rId67" ref="J210"/>
    <hyperlink r:id="rId68" ref="E211"/>
    <hyperlink r:id="rId69" ref="J211"/>
    <hyperlink r:id="rId70" ref="E212"/>
    <hyperlink r:id="rId71" ref="E213"/>
    <hyperlink r:id="rId72" ref="E214"/>
    <hyperlink r:id="rId73" ref="J214"/>
    <hyperlink r:id="rId74" ref="E215"/>
    <hyperlink r:id="rId75" ref="E216"/>
    <hyperlink r:id="rId76" ref="J216"/>
    <hyperlink r:id="rId77" ref="E217"/>
    <hyperlink r:id="rId78" ref="J217"/>
    <hyperlink r:id="rId79" ref="E218"/>
    <hyperlink r:id="rId80" ref="E219"/>
    <hyperlink r:id="rId81" ref="J219"/>
    <hyperlink r:id="rId82" ref="E220"/>
    <hyperlink r:id="rId83" ref="J220"/>
    <hyperlink r:id="rId84" ref="E221"/>
    <hyperlink r:id="rId85" ref="J221"/>
    <hyperlink r:id="rId86" ref="E222"/>
    <hyperlink r:id="rId87" ref="E223"/>
    <hyperlink r:id="rId88" ref="J223"/>
    <hyperlink r:id="rId89" ref="E224"/>
    <hyperlink r:id="rId90" ref="J224"/>
    <hyperlink r:id="rId91" ref="J225"/>
    <hyperlink r:id="rId92" ref="E227"/>
    <hyperlink r:id="rId93" ref="J227"/>
    <hyperlink r:id="rId94" ref="E228"/>
    <hyperlink r:id="rId95" ref="J228"/>
    <hyperlink r:id="rId96" ref="E229"/>
    <hyperlink r:id="rId97" ref="J229"/>
    <hyperlink r:id="rId98" ref="E230"/>
    <hyperlink r:id="rId99" ref="J230"/>
    <hyperlink r:id="rId100" ref="E231"/>
    <hyperlink r:id="rId101" ref="E232"/>
    <hyperlink r:id="rId102" ref="E233"/>
    <hyperlink r:id="rId103" ref="E234"/>
    <hyperlink r:id="rId104" ref="E235"/>
    <hyperlink r:id="rId105" ref="E236"/>
    <hyperlink r:id="rId106" ref="E237"/>
    <hyperlink r:id="rId107" ref="E238"/>
    <hyperlink r:id="rId108" ref="E240"/>
    <hyperlink r:id="rId109" ref="E241"/>
    <hyperlink r:id="rId110" ref="E242"/>
    <hyperlink r:id="rId111" ref="E243"/>
    <hyperlink r:id="rId112" ref="E245"/>
    <hyperlink r:id="rId113" ref="E246"/>
  </hyperlinks>
  <drawing r:id="rId114"/>
  <legacyDrawing r:id="rId115"/>
  <tableParts count="18">
    <tablePart r:id="rId134"/>
    <tablePart r:id="rId135"/>
    <tablePart r:id="rId136"/>
    <tablePart r:id="rId137"/>
    <tablePart r:id="rId138"/>
    <tablePart r:id="rId139"/>
    <tablePart r:id="rId140"/>
    <tablePart r:id="rId141"/>
    <tablePart r:id="rId142"/>
    <tablePart r:id="rId143"/>
    <tablePart r:id="rId144"/>
    <tablePart r:id="rId145"/>
    <tablePart r:id="rId146"/>
    <tablePart r:id="rId147"/>
    <tablePart r:id="rId148"/>
    <tablePart r:id="rId149"/>
    <tablePart r:id="rId150"/>
    <tablePart r:id="rId15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45818E"/>
    <outlinePr summaryBelow="0" summaryRight="0"/>
  </sheetPr>
  <sheetViews>
    <sheetView workbookViewId="0">
      <pane ySplit="2.0" topLeftCell="A3" activePane="bottomLeft" state="frozen"/>
      <selection activeCell="B4" sqref="B4" pane="bottomLeft"/>
    </sheetView>
  </sheetViews>
  <sheetFormatPr customHeight="1" defaultColWidth="14.43" defaultRowHeight="15.75"/>
  <cols>
    <col customWidth="1" min="1" max="1" width="28.57"/>
    <col customWidth="1" min="2" max="2" width="10.29"/>
    <col customWidth="1" min="3" max="3" width="8.86"/>
    <col customWidth="1" min="4" max="4" width="24.29"/>
    <col customWidth="1" min="5" max="5" width="89.86"/>
    <col customWidth="1" min="6" max="6" width="0.43"/>
    <col customWidth="1" min="7" max="8" width="8.14"/>
    <col customWidth="1" min="9" max="9" width="0.86"/>
    <col customWidth="1" min="10" max="11" width="13.0"/>
    <col customWidth="1" min="12" max="12" width="0.86"/>
    <col customWidth="1" min="13" max="13" width="15.29"/>
    <col customWidth="1" min="14" max="14" width="0.86"/>
    <col customWidth="1" min="15" max="15" width="56.43"/>
  </cols>
  <sheetData>
    <row r="1" ht="30.75" customHeight="1">
      <c r="A1" s="329" t="s">
        <v>581</v>
      </c>
      <c r="B1" s="330"/>
      <c r="C1" s="330"/>
      <c r="D1" s="330"/>
      <c r="E1" s="27"/>
      <c r="F1" s="463"/>
      <c r="G1" s="332" t="s">
        <v>582</v>
      </c>
      <c r="H1" s="17"/>
      <c r="I1" s="464"/>
      <c r="J1" s="332" t="s">
        <v>148</v>
      </c>
      <c r="K1" s="16"/>
      <c r="L1" s="465"/>
      <c r="M1" s="466" t="s">
        <v>583</v>
      </c>
      <c r="N1" s="465"/>
      <c r="O1" s="337" t="s">
        <v>150</v>
      </c>
    </row>
    <row r="2">
      <c r="A2" s="338" t="s">
        <v>151</v>
      </c>
      <c r="B2" s="339" t="s">
        <v>152</v>
      </c>
      <c r="C2" s="339" t="s">
        <v>153</v>
      </c>
      <c r="D2" s="340" t="s">
        <v>154</v>
      </c>
      <c r="E2" s="467" t="s">
        <v>155</v>
      </c>
      <c r="F2" s="468"/>
      <c r="G2" s="469" t="s">
        <v>584</v>
      </c>
      <c r="H2" s="470" t="s">
        <v>585</v>
      </c>
      <c r="I2" s="471"/>
      <c r="J2" s="469" t="s">
        <v>156</v>
      </c>
      <c r="K2" s="472" t="s">
        <v>586</v>
      </c>
      <c r="L2" s="471"/>
      <c r="M2" s="469" t="s">
        <v>157</v>
      </c>
      <c r="N2" s="473"/>
      <c r="O2" s="27"/>
    </row>
    <row r="3" ht="17.25" customHeight="1">
      <c r="A3" s="347" t="s">
        <v>159</v>
      </c>
      <c r="B3" s="474" t="s">
        <v>587</v>
      </c>
      <c r="C3" s="349" t="s">
        <v>161</v>
      </c>
      <c r="D3" s="349" t="s">
        <v>182</v>
      </c>
      <c r="E3" s="475" t="str">
        <f>HYPERLINK("https://www.reddit.com/r/RMTK/comments/9uriq3/w0001_wet_sluiting_kolencentrales/","Wet sluiting kolencentrales")</f>
        <v>Wet sluiting kolencentrales</v>
      </c>
      <c r="F3" s="353"/>
      <c r="G3" s="352" t="s">
        <v>118</v>
      </c>
      <c r="H3" s="411" t="s">
        <v>118</v>
      </c>
      <c r="I3" s="351"/>
      <c r="J3" s="476" t="s">
        <v>166</v>
      </c>
      <c r="K3" s="477" t="s">
        <v>166</v>
      </c>
      <c r="L3" s="351"/>
      <c r="M3" s="252" t="s">
        <v>203</v>
      </c>
      <c r="N3" s="353"/>
      <c r="O3" s="354" t="s">
        <v>61</v>
      </c>
    </row>
    <row r="4" ht="17.25" customHeight="1">
      <c r="B4" s="478" t="s">
        <v>588</v>
      </c>
      <c r="C4" s="479" t="s">
        <v>589</v>
      </c>
      <c r="D4" s="479" t="s">
        <v>590</v>
      </c>
      <c r="E4" s="480" t="str">
        <f>HYPERLINK("https://www.reddit.com/r/RMTK/comments/9xpkk8/w0002_wet_btwverlaging_op_ecologischverantwoorde/","Wet btw-verlaging op ecologisch-verantwoorde goederen ")</f>
        <v>Wet btw-verlaging op ecologisch-verantwoorde goederen </v>
      </c>
      <c r="F4" s="353"/>
      <c r="G4" s="352" t="s">
        <v>118</v>
      </c>
      <c r="H4" s="411" t="s">
        <v>118</v>
      </c>
      <c r="I4" s="481"/>
      <c r="J4" s="482" t="s">
        <v>166</v>
      </c>
      <c r="K4" s="477" t="s">
        <v>166</v>
      </c>
      <c r="L4" s="351"/>
      <c r="M4" s="252" t="s">
        <v>203</v>
      </c>
      <c r="N4" s="353"/>
      <c r="O4" s="354" t="s">
        <v>61</v>
      </c>
    </row>
    <row r="5" ht="17.25" customHeight="1">
      <c r="B5" s="474" t="s">
        <v>591</v>
      </c>
      <c r="C5" s="479" t="s">
        <v>589</v>
      </c>
      <c r="D5" s="479" t="s">
        <v>590</v>
      </c>
      <c r="E5" s="475" t="str">
        <f>HYPERLINK("https://www.reddit.com/r/RMTK/comments/a64md6/w0003_wet_co2uitstoot_reductie/","Wet CO2-uitstoot reductie ")</f>
        <v>Wet CO2-uitstoot reductie </v>
      </c>
      <c r="F5" s="353"/>
      <c r="G5" s="483" t="str">
        <f>HYPERLINK("https://www.reddit.com/r/RMTK/comments/a1lug6/w0003i_amendement_op_de_wet_co2uitstoot_reductie/","A-1")</f>
        <v>A-1</v>
      </c>
      <c r="H5" s="477" t="s">
        <v>592</v>
      </c>
      <c r="I5" s="351"/>
      <c r="J5" s="482" t="s">
        <v>166</v>
      </c>
      <c r="K5" s="477" t="s">
        <v>166</v>
      </c>
      <c r="L5" s="351"/>
      <c r="M5" s="252" t="s">
        <v>203</v>
      </c>
      <c r="N5" s="353"/>
      <c r="O5" s="354" t="s">
        <v>61</v>
      </c>
    </row>
    <row r="6" ht="17.25" customHeight="1">
      <c r="B6" s="478" t="s">
        <v>593</v>
      </c>
      <c r="C6" s="349" t="s">
        <v>161</v>
      </c>
      <c r="D6" s="349" t="s">
        <v>162</v>
      </c>
      <c r="E6" s="484" t="str">
        <f>HYPERLINK("https://www.reddit.com/r/RMTK/comments/a7lfim/w0004_wetsvoorstel_decriminalisatie_softdrugs/","Wetsvoorstel decriminalisatie softdrugs")</f>
        <v>Wetsvoorstel decriminalisatie softdrugs</v>
      </c>
      <c r="F6" s="353"/>
      <c r="G6" s="352" t="s">
        <v>118</v>
      </c>
      <c r="H6" s="411" t="s">
        <v>118</v>
      </c>
      <c r="I6" s="353"/>
      <c r="J6" s="482" t="s">
        <v>166</v>
      </c>
      <c r="K6" s="381" t="s">
        <v>170</v>
      </c>
      <c r="L6" s="353"/>
      <c r="M6" s="252" t="s">
        <v>203</v>
      </c>
      <c r="N6" s="353"/>
      <c r="O6" s="354" t="s">
        <v>61</v>
      </c>
    </row>
    <row r="7" ht="17.25" customHeight="1">
      <c r="B7" s="474" t="s">
        <v>594</v>
      </c>
      <c r="C7" s="479" t="s">
        <v>589</v>
      </c>
      <c r="D7" s="479" t="s">
        <v>590</v>
      </c>
      <c r="E7" s="475" t="str">
        <f>HYPERLINK("https://www.reddit.com/r/RMTK/comments/a9np8r/w0004_wet_invoering_vliegtaks/","Wet invoering vliegtaks ")</f>
        <v>Wet invoering vliegtaks </v>
      </c>
      <c r="F7" s="353"/>
      <c r="G7" s="483" t="str">
        <f>HYPERLINK("https://www.reddit.com/r/RMTK/comments/acl9yo/w0005i_amendement_ter_wijziging_van_het/","A-1")</f>
        <v>A-1</v>
      </c>
      <c r="H7" s="360" t="s">
        <v>595</v>
      </c>
      <c r="I7" s="367"/>
      <c r="J7" s="482" t="s">
        <v>166</v>
      </c>
      <c r="K7" s="477" t="s">
        <v>166</v>
      </c>
      <c r="L7" s="351"/>
      <c r="M7" s="252" t="s">
        <v>203</v>
      </c>
      <c r="N7" s="353"/>
      <c r="O7" s="354" t="s">
        <v>596</v>
      </c>
    </row>
    <row r="8" ht="17.25" customHeight="1">
      <c r="F8" s="353"/>
      <c r="G8" s="483" t="str">
        <f>HYPERLINK("https://www.reddit.com/r/RMTK/comments/acy21s/w0005ii_amendement_op_wet_invoering_vliegtaks/","A-2")</f>
        <v>A-2</v>
      </c>
      <c r="H8" s="477" t="s">
        <v>592</v>
      </c>
      <c r="I8" s="481"/>
      <c r="J8" s="158"/>
      <c r="K8" s="135"/>
      <c r="L8" s="351"/>
      <c r="N8" s="353"/>
    </row>
    <row r="9" ht="17.25" customHeight="1">
      <c r="B9" s="474" t="s">
        <v>597</v>
      </c>
      <c r="C9" s="361" t="s">
        <v>175</v>
      </c>
      <c r="D9" s="361" t="s">
        <v>109</v>
      </c>
      <c r="E9" s="475" t="str">
        <f>HYPERLINK("https://www.reddit.com/r/RMTK/comments/abwerm/w0006_wet_tot_het_verlagen_van_de_werkdruk_voor/","Wet tot het verlagen van de werkdruk voor leerkrachten op de basisschool")</f>
        <v>Wet tot het verlagen van de werkdruk voor leerkrachten op de basisschool</v>
      </c>
      <c r="F9" s="353"/>
      <c r="G9" s="352" t="s">
        <v>118</v>
      </c>
      <c r="H9" s="411" t="s">
        <v>118</v>
      </c>
      <c r="I9" s="481"/>
      <c r="J9" s="482" t="s">
        <v>166</v>
      </c>
      <c r="K9" s="477" t="s">
        <v>166</v>
      </c>
      <c r="L9" s="351"/>
      <c r="M9" s="252" t="s">
        <v>164</v>
      </c>
      <c r="N9" s="353"/>
      <c r="O9" s="354" t="s">
        <v>61</v>
      </c>
    </row>
    <row r="10" ht="17.25" customHeight="1">
      <c r="B10" s="478" t="s">
        <v>598</v>
      </c>
      <c r="C10" s="479" t="s">
        <v>589</v>
      </c>
      <c r="D10" s="479" t="s">
        <v>176</v>
      </c>
      <c r="E10" s="480" t="str">
        <f>HYPERLINK("https://reddit.com/r/RMTK/comments/adxbtn/w0007_wet_tot_beperken_van_digitale_apparatuur/","Wet tot beperken van digitale apparatuur voor diplomaten en ambassadeurs")</f>
        <v>Wet tot beperken van digitale apparatuur voor diplomaten en ambassadeurs</v>
      </c>
      <c r="F10" s="353"/>
      <c r="G10" s="483" t="str">
        <f>HYPERLINK("https://www.reddit.com/r/RMTK/comments/agckzr/w0007i_amendement_ter_wijziging_van_het/","A-1")</f>
        <v>A-1</v>
      </c>
      <c r="H10" s="477" t="s">
        <v>592</v>
      </c>
      <c r="I10" s="481"/>
      <c r="J10" s="482" t="s">
        <v>166</v>
      </c>
      <c r="K10" s="477" t="s">
        <v>166</v>
      </c>
      <c r="L10" s="351"/>
      <c r="M10" s="252" t="s">
        <v>183</v>
      </c>
      <c r="N10" s="353"/>
      <c r="O10" s="354" t="s">
        <v>61</v>
      </c>
    </row>
    <row r="11" ht="17.25" customHeight="1">
      <c r="B11" s="474" t="s">
        <v>599</v>
      </c>
      <c r="C11" s="349" t="s">
        <v>161</v>
      </c>
      <c r="D11" s="349" t="s">
        <v>206</v>
      </c>
      <c r="E11" s="475" t="str">
        <f>HYPERLINK("https://reddit.com/r/RMTK/comments/aehqrq/w0008_wijziging_van_de_wet_afbreking_zwangerschap/","Wetswijziging tot het vergroten mogelijkheden voor zwangerschapsafbrekingzorg")</f>
        <v>Wetswijziging tot het vergroten mogelijkheden voor zwangerschapsafbrekingzorg</v>
      </c>
      <c r="F11" s="353"/>
      <c r="G11" s="352" t="s">
        <v>118</v>
      </c>
      <c r="H11" s="411" t="s">
        <v>118</v>
      </c>
      <c r="I11" s="481"/>
      <c r="J11" s="482" t="s">
        <v>166</v>
      </c>
      <c r="K11" s="477" t="s">
        <v>166</v>
      </c>
      <c r="L11" s="351"/>
      <c r="M11" s="369" t="s">
        <v>600</v>
      </c>
      <c r="N11" s="353"/>
      <c r="O11" s="354" t="s">
        <v>61</v>
      </c>
    </row>
    <row r="12" ht="17.25" customHeight="1">
      <c r="B12" s="478" t="s">
        <v>601</v>
      </c>
      <c r="C12" s="479" t="s">
        <v>589</v>
      </c>
      <c r="D12" s="479" t="s">
        <v>136</v>
      </c>
      <c r="E12" s="480" t="str">
        <f>HYPERLINK("https://www.reddit.com/r/RMTK/comments/agz1n5/w0009_wetswijziging_spoorwegenwet_tot/","Wetswijziging Spoorwegenwet tot deprivatisering van de spoorwegen") </f>
        <v>Wetswijziging Spoorwegenwet tot deprivatisering van de spoorwegen</v>
      </c>
      <c r="F12" s="353"/>
      <c r="G12" s="352" t="s">
        <v>118</v>
      </c>
      <c r="H12" s="411" t="s">
        <v>118</v>
      </c>
      <c r="I12" s="351"/>
      <c r="J12" s="482" t="s">
        <v>166</v>
      </c>
      <c r="K12" s="477" t="s">
        <v>166</v>
      </c>
      <c r="L12" s="351"/>
      <c r="M12" s="252" t="s">
        <v>188</v>
      </c>
      <c r="N12" s="353"/>
      <c r="O12" s="354" t="s">
        <v>61</v>
      </c>
    </row>
    <row r="13" ht="7.5" customHeight="1">
      <c r="A13" s="370"/>
      <c r="B13" s="374"/>
      <c r="C13" s="371"/>
      <c r="D13" s="371"/>
      <c r="E13" s="485"/>
      <c r="F13" s="375"/>
      <c r="G13" s="374"/>
      <c r="H13" s="486"/>
      <c r="I13" s="373"/>
      <c r="J13" s="370"/>
      <c r="K13" s="373"/>
      <c r="L13" s="373"/>
      <c r="M13" s="374"/>
      <c r="N13" s="375"/>
      <c r="O13" s="370"/>
    </row>
    <row r="14">
      <c r="A14" s="347" t="s">
        <v>208</v>
      </c>
      <c r="B14" s="348" t="s">
        <v>602</v>
      </c>
      <c r="C14" s="479" t="s">
        <v>589</v>
      </c>
      <c r="D14" s="479" t="s">
        <v>206</v>
      </c>
      <c r="E14" s="487" t="str">
        <f>hyperlink("https://old.reddit.com/r/RMTK/comments/apwpjm/w0010_wijziging_van_de_wet_studiefinanciering/","Wijziging van de Wet studiefinanciering 2000 in verband met de herinvoering van de basisbeurs en uitbreiding reisrecht")</f>
        <v>Wijziging van de Wet studiefinanciering 2000 in verband met de herinvoering van de basisbeurs en uitbreiding reisrecht</v>
      </c>
      <c r="F14" s="353"/>
      <c r="G14" s="352" t="s">
        <v>118</v>
      </c>
      <c r="H14" s="411" t="s">
        <v>118</v>
      </c>
      <c r="I14" s="481"/>
      <c r="J14" s="482" t="s">
        <v>166</v>
      </c>
      <c r="K14" s="477" t="s">
        <v>166</v>
      </c>
      <c r="L14" s="351"/>
      <c r="M14" s="252" t="s">
        <v>216</v>
      </c>
      <c r="N14" s="353"/>
      <c r="O14" s="354" t="s">
        <v>61</v>
      </c>
    </row>
    <row r="15">
      <c r="B15" s="348" t="s">
        <v>603</v>
      </c>
      <c r="C15" s="479" t="s">
        <v>589</v>
      </c>
      <c r="D15" s="479" t="s">
        <v>206</v>
      </c>
      <c r="E15" s="488" t="str">
        <f>HYPERLINK("https://www.reddit.com/r/RMTK/comments/avu0ir/w0011_wet_meldcode_radicalisering/","Wet meldcode radicalisering")</f>
        <v>Wet meldcode radicalisering</v>
      </c>
      <c r="F15" s="353"/>
      <c r="G15" s="352" t="s">
        <v>118</v>
      </c>
      <c r="H15" s="411" t="s">
        <v>118</v>
      </c>
      <c r="I15" s="481"/>
      <c r="J15" s="482" t="s">
        <v>166</v>
      </c>
      <c r="K15" s="477" t="s">
        <v>166</v>
      </c>
      <c r="L15" s="351"/>
      <c r="M15" s="252" t="s">
        <v>216</v>
      </c>
      <c r="N15" s="353"/>
      <c r="O15" s="354" t="s">
        <v>61</v>
      </c>
    </row>
    <row r="16">
      <c r="B16" s="348" t="s">
        <v>604</v>
      </c>
      <c r="C16" s="380" t="s">
        <v>220</v>
      </c>
      <c r="D16" s="380" t="s">
        <v>176</v>
      </c>
      <c r="E16" s="487" t="str">
        <f>hyperlink("https://old.reddit.com/r/RMTK/comments/axb6a2/w0012_wet_bescherming_crowdfundacties/?","Wet bescherming crowdfundacties")</f>
        <v>Wet bescherming crowdfundacties</v>
      </c>
      <c r="F16" s="353"/>
      <c r="G16" s="352" t="s">
        <v>118</v>
      </c>
      <c r="H16" s="411" t="s">
        <v>118</v>
      </c>
      <c r="I16" s="351"/>
      <c r="J16" s="482" t="s">
        <v>166</v>
      </c>
      <c r="K16" s="477" t="s">
        <v>166</v>
      </c>
      <c r="L16" s="351"/>
      <c r="M16" s="252" t="s">
        <v>221</v>
      </c>
      <c r="N16" s="353"/>
      <c r="O16" s="354" t="s">
        <v>605</v>
      </c>
    </row>
    <row r="17">
      <c r="B17" s="348" t="s">
        <v>606</v>
      </c>
      <c r="C17" s="479" t="s">
        <v>589</v>
      </c>
      <c r="D17" s="479" t="s">
        <v>244</v>
      </c>
      <c r="E17" s="487" t="str">
        <f>hyperlink("https://old.reddit.com/r/RMTK/comments/axyq3e/w0013_wet_aanduiding_vervaardiging/?","Wet aanduiding vervaardiging verpakkingsmateriaal")</f>
        <v>Wet aanduiding vervaardiging verpakkingsmateriaal</v>
      </c>
      <c r="F17" s="353"/>
      <c r="G17" s="352" t="s">
        <v>118</v>
      </c>
      <c r="H17" s="411" t="s">
        <v>118</v>
      </c>
      <c r="I17" s="351"/>
      <c r="J17" s="482" t="s">
        <v>166</v>
      </c>
      <c r="K17" s="477" t="s">
        <v>166</v>
      </c>
      <c r="L17" s="351"/>
      <c r="M17" s="252" t="s">
        <v>236</v>
      </c>
      <c r="N17" s="353"/>
      <c r="O17" s="354" t="s">
        <v>61</v>
      </c>
    </row>
    <row r="18">
      <c r="B18" s="348" t="s">
        <v>607</v>
      </c>
      <c r="C18" s="479" t="s">
        <v>589</v>
      </c>
      <c r="D18" s="479" t="s">
        <v>244</v>
      </c>
      <c r="E18" s="487" t="str">
        <f>hyperlink("https://old.reddit.com/r/RMTK/comments/ayfy8u/w0014_wet_co2heffing_op_elektriciteit/?","Wet CO2-heffing op elektriciteit")</f>
        <v>Wet CO2-heffing op elektriciteit</v>
      </c>
      <c r="F18" s="353"/>
      <c r="G18" s="352" t="s">
        <v>118</v>
      </c>
      <c r="H18" s="411" t="s">
        <v>118</v>
      </c>
      <c r="I18" s="481"/>
      <c r="J18" s="489" t="s">
        <v>170</v>
      </c>
      <c r="K18" s="411" t="s">
        <v>118</v>
      </c>
      <c r="L18" s="351"/>
      <c r="M18" s="252" t="s">
        <v>236</v>
      </c>
      <c r="N18" s="353"/>
      <c r="O18" s="354" t="s">
        <v>61</v>
      </c>
    </row>
    <row r="19">
      <c r="B19" s="348" t="s">
        <v>608</v>
      </c>
      <c r="C19" s="479" t="s">
        <v>589</v>
      </c>
      <c r="D19" s="479" t="s">
        <v>206</v>
      </c>
      <c r="E19" s="487" t="str">
        <f>hyperlink("https://old.reddit.com/r/RMTK/comments/aygvku/w0015_wijziging_van_de_wet_op_het_voortgezet/?","Wijziging van de Wet op het voortgezet onderwijs")</f>
        <v>Wijziging van de Wet op het voortgezet onderwijs</v>
      </c>
      <c r="F19" s="353"/>
      <c r="G19" s="352" t="s">
        <v>118</v>
      </c>
      <c r="H19" s="411" t="s">
        <v>118</v>
      </c>
      <c r="I19" s="351"/>
      <c r="J19" s="482" t="s">
        <v>166</v>
      </c>
      <c r="K19" s="477" t="s">
        <v>166</v>
      </c>
      <c r="L19" s="351"/>
      <c r="M19" s="252" t="s">
        <v>216</v>
      </c>
      <c r="N19" s="353"/>
      <c r="O19" s="354" t="s">
        <v>61</v>
      </c>
    </row>
    <row r="20" ht="7.5" customHeight="1">
      <c r="A20" s="370"/>
      <c r="B20" s="374"/>
      <c r="C20" s="371"/>
      <c r="D20" s="371"/>
      <c r="E20" s="485"/>
      <c r="F20" s="375"/>
      <c r="G20" s="374"/>
      <c r="H20" s="486"/>
      <c r="I20" s="373"/>
      <c r="J20" s="370"/>
      <c r="K20" s="373"/>
      <c r="L20" s="373"/>
      <c r="M20" s="374"/>
      <c r="N20" s="375"/>
      <c r="O20" s="370"/>
    </row>
    <row r="21">
      <c r="A21" s="347" t="s">
        <v>241</v>
      </c>
      <c r="B21" s="348" t="s">
        <v>609</v>
      </c>
      <c r="C21" s="490" t="s">
        <v>243</v>
      </c>
      <c r="D21" s="490" t="s">
        <v>260</v>
      </c>
      <c r="E21" s="488" t="str">
        <f>HYPERLINK("https://www.reddit.com/r/RMTK/comments/bbclrd/w0016_wetswijziging_afschaffing_wettelijk/","Wetswijziging afschaffing wettelijk Collegegeld PABO")</f>
        <v>Wetswijziging afschaffing wettelijk Collegegeld PABO</v>
      </c>
      <c r="F21" s="353"/>
      <c r="G21" s="352" t="s">
        <v>118</v>
      </c>
      <c r="H21" s="411" t="s">
        <v>118</v>
      </c>
      <c r="I21" s="351"/>
      <c r="J21" s="489" t="s">
        <v>170</v>
      </c>
      <c r="K21" s="411" t="s">
        <v>118</v>
      </c>
      <c r="L21" s="351"/>
      <c r="M21" s="252" t="s">
        <v>216</v>
      </c>
      <c r="N21" s="353"/>
      <c r="O21" s="354" t="s">
        <v>61</v>
      </c>
    </row>
    <row r="22">
      <c r="B22" s="348" t="s">
        <v>610</v>
      </c>
      <c r="C22" s="479" t="s">
        <v>589</v>
      </c>
      <c r="D22" s="479" t="s">
        <v>206</v>
      </c>
      <c r="E22" s="487" t="str">
        <f>hyperlink("https://old.reddit.com/r/RMTK/comments/bdxiws/wet_aanpak_uitval_en_probleemjongeren/?","Wet aanpak uitval en probleemjongeren beroepsonderwijs")</f>
        <v>Wet aanpak uitval en probleemjongeren beroepsonderwijs</v>
      </c>
      <c r="F22" s="353"/>
      <c r="G22" s="352" t="s">
        <v>118</v>
      </c>
      <c r="H22" s="411" t="s">
        <v>118</v>
      </c>
      <c r="I22" s="351"/>
      <c r="J22" s="482" t="s">
        <v>166</v>
      </c>
      <c r="K22" s="477" t="s">
        <v>166</v>
      </c>
      <c r="L22" s="351"/>
      <c r="M22" s="252" t="s">
        <v>216</v>
      </c>
      <c r="N22" s="353"/>
      <c r="O22" s="354" t="s">
        <v>611</v>
      </c>
    </row>
    <row r="23">
      <c r="B23" s="348" t="s">
        <v>612</v>
      </c>
      <c r="C23" s="479" t="s">
        <v>589</v>
      </c>
      <c r="D23" s="479" t="s">
        <v>136</v>
      </c>
      <c r="E23" s="488" t="str">
        <f>HYPERLINK("https://www.reddit.com/r/RMTK/comments/bj9hku/w0018_wet_energieschijven_heffingssysteem/","Wet Energie-Schijven heffingssysteem")</f>
        <v>Wet Energie-Schijven heffingssysteem</v>
      </c>
      <c r="F23" s="353"/>
      <c r="G23" s="483" t="str">
        <f>HYPERLINK("https://www.reddit.com/r/RMTK/comments/bjym6d/w0018i_amendement_ter_wijziging_van_het/","A-1")</f>
        <v>A-1</v>
      </c>
      <c r="H23" s="477" t="s">
        <v>592</v>
      </c>
      <c r="I23" s="481"/>
      <c r="J23" s="482" t="s">
        <v>166</v>
      </c>
      <c r="K23" s="477" t="s">
        <v>166</v>
      </c>
      <c r="L23" s="351"/>
      <c r="M23" s="252" t="s">
        <v>250</v>
      </c>
      <c r="N23" s="353"/>
      <c r="O23" s="354" t="s">
        <v>61</v>
      </c>
    </row>
    <row r="24">
      <c r="B24" s="348" t="s">
        <v>613</v>
      </c>
      <c r="C24" s="389" t="s">
        <v>255</v>
      </c>
      <c r="D24" s="389" t="s">
        <v>201</v>
      </c>
      <c r="E24" s="488" t="str">
        <f>HYPERLINK("https://www.reddit.com/r/RMTK/comments/bjlxhu/w0019_wet_ter_bevordering_privacy_slachtoffers/","Wet ter bevordering privacy slachtoffers van ongevallen")</f>
        <v>Wet ter bevordering privacy slachtoffers van ongevallen</v>
      </c>
      <c r="F24" s="353"/>
      <c r="G24" s="483" t="str">
        <f>HYPERLINK("https://www.reddit.com/r/RMTK/comments/bluekl/w0019i_amendement_op_wet_ter_bevordering_privacy/","A-1")</f>
        <v>A-1</v>
      </c>
      <c r="H24" s="477" t="s">
        <v>592</v>
      </c>
      <c r="I24" s="351"/>
      <c r="J24" s="482" t="s">
        <v>166</v>
      </c>
      <c r="K24" s="477" t="s">
        <v>166</v>
      </c>
      <c r="L24" s="351"/>
      <c r="M24" s="252" t="s">
        <v>614</v>
      </c>
      <c r="N24" s="353"/>
      <c r="O24" s="354" t="s">
        <v>61</v>
      </c>
    </row>
    <row r="25" ht="7.5" customHeight="1">
      <c r="A25" s="370"/>
      <c r="B25" s="374"/>
      <c r="C25" s="371"/>
      <c r="D25" s="371"/>
      <c r="E25" s="485"/>
      <c r="F25" s="375"/>
      <c r="G25" s="374"/>
      <c r="H25" s="486"/>
      <c r="I25" s="373"/>
      <c r="J25" s="370"/>
      <c r="K25" s="373"/>
      <c r="L25" s="373"/>
      <c r="M25" s="374"/>
      <c r="N25" s="375"/>
      <c r="O25" s="370"/>
    </row>
    <row r="26">
      <c r="A26" s="347" t="s">
        <v>263</v>
      </c>
      <c r="B26" s="348" t="s">
        <v>615</v>
      </c>
      <c r="C26" s="479" t="s">
        <v>589</v>
      </c>
      <c r="D26" s="479" t="s">
        <v>102</v>
      </c>
      <c r="E26" s="487" t="str">
        <f>hyperlink("https://old.reddit.com/r/RMTK/comments/bu3zq8/w0020_tijdelijke_sanctiewet_saudiarabi%C3%AB/?","Tijdelijke Sanctiewet Saudi-Arabië")</f>
        <v>Tijdelijke Sanctiewet Saudi-Arabië</v>
      </c>
      <c r="F26" s="353"/>
      <c r="G26" s="352" t="s">
        <v>118</v>
      </c>
      <c r="H26" s="411" t="s">
        <v>118</v>
      </c>
      <c r="I26" s="481"/>
      <c r="J26" s="482" t="s">
        <v>166</v>
      </c>
      <c r="K26" s="477" t="s">
        <v>166</v>
      </c>
      <c r="L26" s="351"/>
      <c r="M26" s="252" t="s">
        <v>183</v>
      </c>
      <c r="N26" s="353"/>
      <c r="O26" s="354" t="s">
        <v>61</v>
      </c>
    </row>
    <row r="27">
      <c r="B27" s="348" t="s">
        <v>616</v>
      </c>
      <c r="C27" s="479" t="s">
        <v>589</v>
      </c>
      <c r="D27" s="479" t="s">
        <v>206</v>
      </c>
      <c r="E27" s="491" t="str">
        <f>HYPERLINK("https://www.reddit.com/r/RMTK/comments/bwf39d/w0021_wijziging_van_de_grondwet_vanwege_een/","Wijziging van de Grondwet vanwege een uitbreiding van artikel 1")</f>
        <v>Wijziging van de Grondwet vanwege een uitbreiding van artikel 1</v>
      </c>
      <c r="F27" s="353"/>
      <c r="G27" s="492" t="s">
        <v>118</v>
      </c>
      <c r="H27" s="493" t="s">
        <v>118</v>
      </c>
      <c r="I27" s="351"/>
      <c r="J27" s="482" t="s">
        <v>166</v>
      </c>
      <c r="K27" s="477" t="s">
        <v>166</v>
      </c>
      <c r="L27" s="351"/>
      <c r="M27" s="252" t="s">
        <v>173</v>
      </c>
      <c r="N27" s="353"/>
      <c r="O27" s="354" t="s">
        <v>61</v>
      </c>
    </row>
    <row r="28">
      <c r="B28" s="348" t="s">
        <v>617</v>
      </c>
      <c r="C28" s="479" t="s">
        <v>589</v>
      </c>
      <c r="D28" s="479" t="s">
        <v>102</v>
      </c>
      <c r="E28" s="494" t="str">
        <f>HYPERLINK("https://www.reddit.com/r/RMTK/comments/bwr7df/w0022_wijziging_van_de_grondwet_met_betrekking/","Wijziging van de Grondwet met betrekking tot de Europese Unie")</f>
        <v>Wijziging van de Grondwet met betrekking tot de Europese Unie</v>
      </c>
      <c r="F28" s="353"/>
      <c r="G28" s="492" t="s">
        <v>118</v>
      </c>
      <c r="H28" s="493" t="s">
        <v>118</v>
      </c>
      <c r="I28" s="351"/>
      <c r="J28" s="489" t="s">
        <v>170</v>
      </c>
      <c r="K28" s="411" t="s">
        <v>118</v>
      </c>
      <c r="L28" s="351"/>
      <c r="M28" s="252" t="s">
        <v>183</v>
      </c>
      <c r="N28" s="353"/>
      <c r="O28" s="354" t="s">
        <v>61</v>
      </c>
    </row>
    <row r="29">
      <c r="B29" s="348" t="s">
        <v>618</v>
      </c>
      <c r="C29" s="479" t="s">
        <v>589</v>
      </c>
      <c r="D29" s="479" t="s">
        <v>252</v>
      </c>
      <c r="E29" s="488" t="str">
        <f>HYPERLINK("https://www.reddit.com/r/RMTK/comments/bxktln/w0023_wetswijziging_tot_verandering_erfbelasting/","Wetswijziging tot verandering erfbelasting")</f>
        <v>Wetswijziging tot verandering erfbelasting</v>
      </c>
      <c r="F29" s="353"/>
      <c r="G29" s="495" t="str">
        <f>hyperlink("https://old.reddit.com/r/RMTK/comments/bzfz9f/w0023i_amendement_op_de_wetswijziging_tot/","A-1")</f>
        <v>A-1</v>
      </c>
      <c r="H29" s="360" t="s">
        <v>595</v>
      </c>
      <c r="I29" s="351"/>
      <c r="J29" s="496" t="s">
        <v>166</v>
      </c>
      <c r="K29" s="477" t="s">
        <v>166</v>
      </c>
      <c r="L29" s="351"/>
      <c r="M29" s="252" t="s">
        <v>218</v>
      </c>
      <c r="N29" s="353"/>
      <c r="O29" s="354" t="s">
        <v>61</v>
      </c>
    </row>
    <row r="30">
      <c r="B30" s="348" t="s">
        <v>619</v>
      </c>
      <c r="C30" s="490" t="s">
        <v>243</v>
      </c>
      <c r="D30" s="490" t="s">
        <v>294</v>
      </c>
      <c r="E30" s="487" t="str">
        <f>hyperlink("https://old.reddit.com/r/RMTK/comments/c09536/w0024_wet_nationaal_woonplan/?","Wet nationaal woonplan")</f>
        <v>Wet nationaal woonplan</v>
      </c>
      <c r="F30" s="353"/>
      <c r="G30" s="492" t="s">
        <v>118</v>
      </c>
      <c r="H30" s="493" t="s">
        <v>118</v>
      </c>
      <c r="I30" s="351"/>
      <c r="J30" s="482" t="s">
        <v>166</v>
      </c>
      <c r="K30" s="477" t="s">
        <v>166</v>
      </c>
      <c r="L30" s="351"/>
      <c r="M30" s="252" t="s">
        <v>247</v>
      </c>
      <c r="N30" s="353"/>
      <c r="O30" s="354" t="s">
        <v>61</v>
      </c>
    </row>
    <row r="31">
      <c r="B31" s="348" t="s">
        <v>620</v>
      </c>
      <c r="C31" s="389" t="s">
        <v>255</v>
      </c>
      <c r="D31" s="389" t="s">
        <v>201</v>
      </c>
      <c r="E31" s="487" t="str">
        <f>hyperlink("https://old.reddit.com/r/RMTK/comments/c26kl0/w0025_koepelwet_kerncentrales/?","Koepelwet Kerncentrales")</f>
        <v>Koepelwet Kerncentrales</v>
      </c>
      <c r="F31" s="353"/>
      <c r="G31" s="495" t="str">
        <f>hyperlink("https://old.reddit.com/r/RMTK/comments/c2ykuk/w0025i_amendement_op_koepelwet_kerncentrales/?","A-1")</f>
        <v>A-1</v>
      </c>
      <c r="H31" s="497" t="s">
        <v>592</v>
      </c>
      <c r="I31" s="481"/>
      <c r="J31" s="496" t="s">
        <v>166</v>
      </c>
      <c r="K31" s="399" t="s">
        <v>170</v>
      </c>
      <c r="L31" s="351"/>
      <c r="M31" s="252" t="s">
        <v>236</v>
      </c>
      <c r="N31" s="353"/>
      <c r="O31" s="354" t="s">
        <v>61</v>
      </c>
    </row>
    <row r="32">
      <c r="B32" s="348" t="s">
        <v>621</v>
      </c>
      <c r="C32" s="364" t="s">
        <v>31</v>
      </c>
      <c r="D32" s="364" t="s">
        <v>16</v>
      </c>
      <c r="E32" s="487" t="str">
        <f>hyperlink("https://old.reddit.com/r/RMTK/comments/c2juo6/w0026_wet_reclame_alcoholhoudende_dranken/?","Wet Reclame Alcoholhoudende Dranken")</f>
        <v>Wet Reclame Alcoholhoudende Dranken</v>
      </c>
      <c r="F32" s="353"/>
      <c r="G32" s="492" t="s">
        <v>118</v>
      </c>
      <c r="H32" s="493" t="s">
        <v>118</v>
      </c>
      <c r="I32" s="351"/>
      <c r="J32" s="496" t="s">
        <v>170</v>
      </c>
      <c r="K32" s="411" t="s">
        <v>118</v>
      </c>
      <c r="L32" s="351"/>
      <c r="M32" s="252" t="s">
        <v>253</v>
      </c>
      <c r="N32" s="353"/>
      <c r="O32" s="354" t="s">
        <v>61</v>
      </c>
    </row>
    <row r="33">
      <c r="B33" s="348" t="s">
        <v>622</v>
      </c>
      <c r="C33" s="390" t="s">
        <v>258</v>
      </c>
      <c r="D33" s="390" t="s">
        <v>176</v>
      </c>
      <c r="E33" s="487" t="str">
        <f>hyperlink("https://old.reddit.com/r/RMTK/comments/c4pqxl/w0027_wetswijziging_tot_verbieden_discriminatie/?","Wetswijziging tot verbieden discriminatie op basis van genderidentiteit")</f>
        <v>Wetswijziging tot verbieden discriminatie op basis van genderidentiteit</v>
      </c>
      <c r="F33" s="353"/>
      <c r="G33" s="492" t="s">
        <v>118</v>
      </c>
      <c r="H33" s="493" t="s">
        <v>118</v>
      </c>
      <c r="I33" s="481"/>
      <c r="J33" s="496" t="s">
        <v>166</v>
      </c>
      <c r="K33" s="399" t="s">
        <v>166</v>
      </c>
      <c r="L33" s="351"/>
      <c r="M33" s="252" t="s">
        <v>276</v>
      </c>
      <c r="N33" s="353"/>
      <c r="O33" s="354" t="s">
        <v>61</v>
      </c>
    </row>
    <row r="34" ht="17.25" customHeight="1">
      <c r="B34" s="348" t="s">
        <v>623</v>
      </c>
      <c r="C34" s="364" t="s">
        <v>31</v>
      </c>
      <c r="D34" s="364" t="s">
        <v>294</v>
      </c>
      <c r="E34" s="487" t="str">
        <f>HYPERLINK("https://www.reddit.com/r/RMTK/comments/c8rc1h/w0028_wetswijziging_tot_aanvulling_op_de_wet/","Wetswijziging tot aanvulling op de wet nationaal woonplan")</f>
        <v>Wetswijziging tot aanvulling op de wet nationaal woonplan</v>
      </c>
      <c r="F34" s="353"/>
      <c r="G34" s="492" t="s">
        <v>118</v>
      </c>
      <c r="H34" s="493" t="s">
        <v>118</v>
      </c>
      <c r="I34" s="351"/>
      <c r="J34" s="496" t="s">
        <v>166</v>
      </c>
      <c r="K34" s="411" t="s">
        <v>166</v>
      </c>
      <c r="L34" s="351"/>
      <c r="M34" s="252" t="s">
        <v>247</v>
      </c>
      <c r="N34" s="353"/>
      <c r="O34" s="354" t="s">
        <v>61</v>
      </c>
    </row>
    <row r="35" ht="7.5" customHeight="1">
      <c r="A35" s="370"/>
      <c r="B35" s="374"/>
      <c r="C35" s="371"/>
      <c r="D35" s="371"/>
      <c r="E35" s="485"/>
      <c r="F35" s="375"/>
      <c r="G35" s="374"/>
      <c r="H35" s="486"/>
      <c r="I35" s="373"/>
      <c r="J35" s="370"/>
      <c r="K35" s="373"/>
      <c r="L35" s="373"/>
      <c r="M35" s="374"/>
      <c r="N35" s="375"/>
      <c r="O35" s="370"/>
    </row>
    <row r="36" ht="17.25" customHeight="1">
      <c r="A36" s="347" t="s">
        <v>299</v>
      </c>
      <c r="B36" s="348" t="s">
        <v>624</v>
      </c>
      <c r="C36" s="490" t="s">
        <v>243</v>
      </c>
      <c r="D36" s="490" t="s">
        <v>252</v>
      </c>
      <c r="E36" s="487" t="str">
        <f>HYPERLINK("https://www.reddit.com/r/RMTK/comments/cbidty/w0029_wijziging_van_het_burgerlijk_wetboek_boek_1/","Wijziging van het Burgerlijk Wetboek, Boek 1, artikel 5")</f>
        <v>Wijziging van het Burgerlijk Wetboek, Boek 1, artikel 5</v>
      </c>
      <c r="F36" s="353"/>
      <c r="G36" s="492" t="s">
        <v>118</v>
      </c>
      <c r="H36" s="493" t="s">
        <v>118</v>
      </c>
      <c r="I36" s="351"/>
      <c r="J36" s="496" t="s">
        <v>166</v>
      </c>
      <c r="K36" s="399" t="s">
        <v>170</v>
      </c>
      <c r="L36" s="351"/>
      <c r="M36" s="252" t="s">
        <v>198</v>
      </c>
      <c r="N36" s="353"/>
      <c r="O36" s="354" t="s">
        <v>61</v>
      </c>
    </row>
    <row r="37">
      <c r="B37" s="348" t="s">
        <v>625</v>
      </c>
      <c r="C37" s="490" t="s">
        <v>243</v>
      </c>
      <c r="D37" s="490" t="s">
        <v>252</v>
      </c>
      <c r="E37" s="487" t="str">
        <f>HYPERLINK("https://www.reddit.com/r/RMTK/comments/cedsei/w0030_wijziging_van_het_burgerlijk_wetboek_boek_1/","Wijziging van het Burgerlijk Wetboek, Boek 1, artikel 28")</f>
        <v>Wijziging van het Burgerlijk Wetboek, Boek 1, artikel 28</v>
      </c>
      <c r="F37" s="353"/>
      <c r="G37" s="492" t="s">
        <v>118</v>
      </c>
      <c r="H37" s="493" t="s">
        <v>118</v>
      </c>
      <c r="I37" s="351"/>
      <c r="J37" s="496" t="s">
        <v>166</v>
      </c>
      <c r="K37" s="411" t="s">
        <v>166</v>
      </c>
      <c r="L37" s="351"/>
      <c r="M37" s="252" t="s">
        <v>198</v>
      </c>
      <c r="N37" s="353"/>
      <c r="O37" s="354" t="s">
        <v>61</v>
      </c>
    </row>
    <row r="38">
      <c r="B38" s="348" t="s">
        <v>626</v>
      </c>
      <c r="C38" s="364" t="s">
        <v>31</v>
      </c>
      <c r="D38" s="364" t="s">
        <v>294</v>
      </c>
      <c r="E38" s="487" t="str">
        <f>HYPERLINK("https://www.reddit.com/r/RMTK/comments/cev17r/w0031_hernieuwde_klimaatwet_2019/","Hernieuwde Klimaatwet 2019")</f>
        <v>Hernieuwde Klimaatwet 2019</v>
      </c>
      <c r="F38" s="353"/>
      <c r="G38" s="492" t="s">
        <v>118</v>
      </c>
      <c r="H38" s="493" t="s">
        <v>118</v>
      </c>
      <c r="I38" s="351"/>
      <c r="J38" s="496" t="s">
        <v>166</v>
      </c>
      <c r="K38" s="411" t="s">
        <v>166</v>
      </c>
      <c r="L38" s="351"/>
      <c r="M38" s="252" t="s">
        <v>236</v>
      </c>
      <c r="N38" s="353"/>
      <c r="O38" s="354" t="s">
        <v>61</v>
      </c>
    </row>
    <row r="39" ht="17.25" customHeight="1">
      <c r="B39" s="348" t="s">
        <v>627</v>
      </c>
      <c r="C39" s="479" t="s">
        <v>589</v>
      </c>
      <c r="D39" s="479" t="s">
        <v>176</v>
      </c>
      <c r="E39" s="487" t="str">
        <f>HYPERLINK("https://www.reddit.com/r/RMTK/comments/cgethq/wetsvoorstel_tot_budgettaire_begroting/","Wetsvoorstel tot budgettaire begroting Nedersaksenlijn")</f>
        <v>Wetsvoorstel tot budgettaire begroting Nedersaksenlijn</v>
      </c>
      <c r="F39" s="353"/>
      <c r="G39" s="492" t="s">
        <v>118</v>
      </c>
      <c r="H39" s="493" t="s">
        <v>118</v>
      </c>
      <c r="I39" s="351"/>
      <c r="J39" s="496" t="s">
        <v>166</v>
      </c>
      <c r="K39" s="411" t="s">
        <v>166</v>
      </c>
      <c r="L39" s="351"/>
      <c r="M39" s="252" t="s">
        <v>236</v>
      </c>
      <c r="N39" s="353"/>
      <c r="O39" s="354" t="s">
        <v>61</v>
      </c>
    </row>
    <row r="40" ht="17.25" customHeight="1">
      <c r="B40" s="348" t="s">
        <v>628</v>
      </c>
      <c r="C40" s="364" t="s">
        <v>31</v>
      </c>
      <c r="D40" s="364" t="s">
        <v>260</v>
      </c>
      <c r="E40" s="487" t="str">
        <f>HYPERLINK("https://www.reddit.com/r/RMTK/comments/ch9l69/w0033_wet_erkenning_recht_op_voltooid_leven/","Wet erkenning recht op voltooid leven")</f>
        <v>Wet erkenning recht op voltooid leven</v>
      </c>
      <c r="F40" s="353"/>
      <c r="G40" s="498" t="str">
        <f>HYPERLINK("https://www.reddit.com/r/RMTK/comments/cjbw7f/w0033i_amendement_op_wet_erkenning_recht_op/","A-1")</f>
        <v>A-1</v>
      </c>
      <c r="H40" s="497" t="s">
        <v>595</v>
      </c>
      <c r="I40" s="351"/>
      <c r="J40" s="496" t="s">
        <v>166</v>
      </c>
      <c r="K40" s="411" t="s">
        <v>166</v>
      </c>
      <c r="L40" s="351"/>
      <c r="M40" s="252" t="s">
        <v>253</v>
      </c>
      <c r="N40" s="353"/>
      <c r="O40" s="354" t="s">
        <v>61</v>
      </c>
    </row>
    <row r="41" ht="17.25" customHeight="1">
      <c r="B41" s="348" t="s">
        <v>629</v>
      </c>
      <c r="C41" s="499" t="s">
        <v>311</v>
      </c>
      <c r="D41" s="499" t="s">
        <v>630</v>
      </c>
      <c r="E41" s="488" t="str">
        <f>HYPERLINK("https://www.reddit.com/r/RMTK/comments/ciktf7/w0034_wet_lobbyverbod/","Wet Lobbyverbod ")</f>
        <v>Wet Lobbyverbod </v>
      </c>
      <c r="F41" s="353"/>
      <c r="G41" s="492" t="s">
        <v>118</v>
      </c>
      <c r="H41" s="493" t="s">
        <v>118</v>
      </c>
      <c r="I41" s="351"/>
      <c r="J41" s="496" t="s">
        <v>170</v>
      </c>
      <c r="K41" s="411" t="s">
        <v>118</v>
      </c>
      <c r="L41" s="351"/>
      <c r="M41" s="252" t="s">
        <v>247</v>
      </c>
      <c r="N41" s="353"/>
      <c r="O41" s="354" t="s">
        <v>61</v>
      </c>
    </row>
    <row r="42" ht="17.25" customHeight="1">
      <c r="B42" s="348" t="s">
        <v>631</v>
      </c>
      <c r="C42" s="400" t="s">
        <v>320</v>
      </c>
      <c r="D42" s="400" t="s">
        <v>260</v>
      </c>
      <c r="E42" s="500" t="str">
        <f>HYPERLINK("https://www.reddit.com/r/RMTK/comments/cjrjh1/w0035_wet_belasting_op_grote_techbedrijven/","Wet Belasting op grote techbedrijven")</f>
        <v>Wet Belasting op grote techbedrijven</v>
      </c>
      <c r="F42" s="353"/>
      <c r="G42" s="501" t="str">
        <f>HYPERLINK("https://www.reddit.com/r/RMTK/comments/clxgpr/w0035i_amendement_op_wet_belasting_op_grote/","A-1")</f>
        <v>A-1</v>
      </c>
      <c r="H42" s="497" t="s">
        <v>592</v>
      </c>
      <c r="I42" s="351"/>
      <c r="J42" s="352" t="s">
        <v>163</v>
      </c>
      <c r="K42" s="411" t="s">
        <v>118</v>
      </c>
      <c r="L42" s="351"/>
      <c r="M42" s="252" t="s">
        <v>309</v>
      </c>
      <c r="N42" s="353"/>
      <c r="O42" s="354" t="s">
        <v>61</v>
      </c>
    </row>
    <row r="43" ht="17.25" customHeight="1">
      <c r="B43" s="348" t="s">
        <v>632</v>
      </c>
      <c r="C43" s="392" t="s">
        <v>274</v>
      </c>
      <c r="D43" s="392" t="s">
        <v>633</v>
      </c>
      <c r="E43" s="487" t="str">
        <f>HYPERLINK("https://www.reddit.com/r/RMTK/comments/cwp79y/w0036_wet_ter_erkenning_van_de_nederlandse/","Wet ter erkenning van de Nederlandse Gebarentaal")</f>
        <v>Wet ter erkenning van de Nederlandse Gebarentaal</v>
      </c>
      <c r="F43" s="353"/>
      <c r="G43" s="492" t="s">
        <v>118</v>
      </c>
      <c r="H43" s="493" t="s">
        <v>118</v>
      </c>
      <c r="I43" s="351"/>
      <c r="J43" s="252" t="s">
        <v>166</v>
      </c>
      <c r="K43" s="411" t="s">
        <v>166</v>
      </c>
      <c r="L43" s="351"/>
      <c r="M43" s="252" t="s">
        <v>247</v>
      </c>
      <c r="N43" s="353"/>
      <c r="O43" s="354" t="s">
        <v>61</v>
      </c>
    </row>
    <row r="44" ht="17.25" customHeight="1">
      <c r="B44" s="348" t="s">
        <v>634</v>
      </c>
      <c r="C44" s="502" t="s">
        <v>320</v>
      </c>
      <c r="D44" s="502" t="s">
        <v>260</v>
      </c>
      <c r="E44" s="487" t="str">
        <f>HYPERLINK("https://www.reddit.com/r/RMTK/comments/cx11b8/w0037_wetswijziging_wet_op_de_omzetbelasting_1968/","Wetswijziging Wet op de omzetbelasting 1968")</f>
        <v>Wetswijziging Wet op de omzetbelasting 1968</v>
      </c>
      <c r="F44" s="353"/>
      <c r="G44" s="492" t="s">
        <v>118</v>
      </c>
      <c r="H44" s="493" t="s">
        <v>118</v>
      </c>
      <c r="I44" s="351"/>
      <c r="J44" s="252" t="s">
        <v>170</v>
      </c>
      <c r="K44" s="411" t="s">
        <v>118</v>
      </c>
      <c r="L44" s="351"/>
      <c r="M44" s="252" t="s">
        <v>309</v>
      </c>
      <c r="N44" s="353"/>
      <c r="O44" s="354" t="s">
        <v>61</v>
      </c>
    </row>
    <row r="45" ht="17.25" customHeight="1">
      <c r="B45" s="348" t="s">
        <v>635</v>
      </c>
      <c r="C45" s="479" t="s">
        <v>589</v>
      </c>
      <c r="D45" s="479" t="s">
        <v>16</v>
      </c>
      <c r="E45" s="487" t="str">
        <f>HYPERLINK("https://www.reddit.com/r/RMTK/comments/cyt6r7/w0038_wetsvoorstel_tot_wijziging_van_de_wet_op_de/","Wetsvoorstel tot wijziging van de wet op de accijns")</f>
        <v>Wetsvoorstel tot wijziging van de wet op de accijns</v>
      </c>
      <c r="F45" s="353"/>
      <c r="G45" s="492" t="s">
        <v>118</v>
      </c>
      <c r="H45" s="493" t="s">
        <v>118</v>
      </c>
      <c r="I45" s="351"/>
      <c r="J45" s="252" t="s">
        <v>166</v>
      </c>
      <c r="K45" s="411" t="s">
        <v>166</v>
      </c>
      <c r="L45" s="351"/>
      <c r="M45" s="252" t="s">
        <v>309</v>
      </c>
      <c r="N45" s="353"/>
      <c r="O45" s="354" t="s">
        <v>61</v>
      </c>
    </row>
    <row r="46" ht="17.25" customHeight="1">
      <c r="B46" s="348" t="s">
        <v>636</v>
      </c>
      <c r="C46" s="403" t="s">
        <v>333</v>
      </c>
      <c r="D46" s="503" t="s">
        <v>637</v>
      </c>
      <c r="E46" s="487" t="str">
        <f>HYPERLINK("https://www.reddit.com/r/RMTK/comments/d2a3yu/w0039_wetsvoorstel_versoepeling_opiumwet/","Wetsvoorstel Versoepeling Opiumwet")</f>
        <v>Wetsvoorstel Versoepeling Opiumwet</v>
      </c>
      <c r="F46" s="353"/>
      <c r="G46" s="498" t="str">
        <f>HYPERLINK("https://www.reddit.com/r/RMTK/comments/d57042/w0039i_amendement_wetsvoorstel_versoepeling/","A-1")</f>
        <v>A-1</v>
      </c>
      <c r="H46" s="504" t="s">
        <v>592</v>
      </c>
      <c r="I46" s="351"/>
      <c r="J46" s="252" t="s">
        <v>166</v>
      </c>
      <c r="K46" s="411" t="s">
        <v>166</v>
      </c>
      <c r="L46" s="351"/>
      <c r="M46" s="252" t="s">
        <v>198</v>
      </c>
      <c r="N46" s="353"/>
      <c r="O46" s="354" t="s">
        <v>61</v>
      </c>
    </row>
    <row r="47" ht="17.25" customHeight="1">
      <c r="B47" s="348" t="s">
        <v>638</v>
      </c>
      <c r="C47" s="252" t="s">
        <v>348</v>
      </c>
      <c r="D47" s="252" t="s">
        <v>639</v>
      </c>
      <c r="E47" s="487" t="str">
        <f>HYPERLINK("https://www.reddit.com/r/RMTK/comments/d6jji7/w0040_wet_register_openbare_hygi%C3%ABne_en/","Wet register openbare hygiëne- en veiligheidsvoorzieningen")</f>
        <v>Wet register openbare hygiëne- en veiligheidsvoorzieningen</v>
      </c>
      <c r="F47" s="353"/>
      <c r="G47" s="492" t="s">
        <v>118</v>
      </c>
      <c r="H47" s="493" t="s">
        <v>118</v>
      </c>
      <c r="I47" s="351"/>
      <c r="J47" s="252" t="s">
        <v>166</v>
      </c>
      <c r="K47" s="411" t="s">
        <v>166</v>
      </c>
      <c r="L47" s="351"/>
      <c r="M47" s="252" t="s">
        <v>253</v>
      </c>
      <c r="N47" s="353"/>
      <c r="O47" s="354" t="s">
        <v>61</v>
      </c>
    </row>
    <row r="48" ht="17.25" customHeight="1">
      <c r="B48" s="348" t="s">
        <v>640</v>
      </c>
      <c r="C48" s="479" t="s">
        <v>589</v>
      </c>
      <c r="D48" s="479" t="s">
        <v>16</v>
      </c>
      <c r="E48" s="487" t="str">
        <f>HYPERLINK("https://www.reddit.com/r/RMTK/comments/d88tka/w0041_belastingwet_meervoudig_woningbezit/","Belastingwet Meervoudig Woningbezit")</f>
        <v>Belastingwet Meervoudig Woningbezit</v>
      </c>
      <c r="F48" s="353"/>
      <c r="G48" s="498" t="str">
        <f>HYPERLINK("https://www.reddit.com/r/RMTK/comments/dit9bu/w0041i_amendement_belastingwet_meervoudig/","A-1")</f>
        <v>A-1</v>
      </c>
      <c r="H48" s="504" t="s">
        <v>592</v>
      </c>
      <c r="I48" s="351"/>
      <c r="J48" s="252" t="s">
        <v>166</v>
      </c>
      <c r="K48" s="411" t="s">
        <v>166</v>
      </c>
      <c r="L48" s="351"/>
      <c r="M48" s="252" t="s">
        <v>309</v>
      </c>
      <c r="N48" s="353"/>
      <c r="O48" s="354" t="s">
        <v>61</v>
      </c>
    </row>
    <row r="49" ht="17.25" customHeight="1">
      <c r="B49" s="348" t="s">
        <v>641</v>
      </c>
      <c r="C49" s="479" t="s">
        <v>589</v>
      </c>
      <c r="D49" s="479" t="s">
        <v>197</v>
      </c>
      <c r="E49" s="487" t="str">
        <f>HYPERLINK("https://www.reddit.com/r/RMTK/comments/d93cgv/w0042_wet_tot_goedkeuring_aankoop_vijf_f35a_2019/","Wet tot goedkeuring aankoop vijf F-35A 2019")</f>
        <v>Wet tot goedkeuring aankoop vijf F-35A 2019</v>
      </c>
      <c r="F49" s="353"/>
      <c r="G49" s="498" t="str">
        <f>HYPERLINK("https://www.reddit.com/r/RMTK/comments/djbute/w0042i_amendement_wet_tot_goedkeuring_aankoop/","A-1")</f>
        <v>A-1</v>
      </c>
      <c r="H49" s="505" t="s">
        <v>595</v>
      </c>
      <c r="I49" s="351"/>
      <c r="J49" s="252" t="s">
        <v>166</v>
      </c>
      <c r="K49" s="411" t="s">
        <v>166</v>
      </c>
      <c r="L49" s="351"/>
      <c r="M49" s="252" t="s">
        <v>344</v>
      </c>
      <c r="N49" s="353"/>
      <c r="O49" s="354" t="s">
        <v>61</v>
      </c>
    </row>
    <row r="50" ht="17.25" customHeight="1">
      <c r="B50" s="348" t="s">
        <v>642</v>
      </c>
      <c r="C50" s="403" t="s">
        <v>333</v>
      </c>
      <c r="D50" s="503" t="s">
        <v>25</v>
      </c>
      <c r="E50" s="487" t="str">
        <f>hyperlink("https://www.reddit.com/r/RMTK/comments/d9pe1o/w0043_wijziging_wetboek_van_strafrecht_artikel_23/","Wijziging Wetboek van Strafrecht Artikel 23")</f>
        <v>Wijziging Wetboek van Strafrecht Artikel 23</v>
      </c>
      <c r="F50" s="353"/>
      <c r="G50" s="492" t="s">
        <v>118</v>
      </c>
      <c r="H50" s="493" t="s">
        <v>118</v>
      </c>
      <c r="I50" s="351"/>
      <c r="J50" s="252" t="s">
        <v>166</v>
      </c>
      <c r="K50" s="411" t="s">
        <v>170</v>
      </c>
      <c r="L50" s="351"/>
      <c r="M50" s="252" t="s">
        <v>198</v>
      </c>
      <c r="N50" s="353"/>
      <c r="O50" s="354" t="s">
        <v>61</v>
      </c>
    </row>
    <row r="51" ht="7.5" customHeight="1">
      <c r="A51" s="370"/>
      <c r="B51" s="374"/>
      <c r="C51" s="371"/>
      <c r="D51" s="371"/>
      <c r="E51" s="485"/>
      <c r="F51" s="375"/>
      <c r="G51" s="374"/>
      <c r="H51" s="486"/>
      <c r="I51" s="373"/>
      <c r="J51" s="370"/>
      <c r="K51" s="373"/>
      <c r="L51" s="373"/>
      <c r="M51" s="374"/>
      <c r="N51" s="375"/>
      <c r="O51" s="370"/>
    </row>
    <row r="52" ht="17.25" customHeight="1">
      <c r="A52" s="347" t="s">
        <v>643</v>
      </c>
      <c r="B52" s="474" t="s">
        <v>644</v>
      </c>
      <c r="C52" s="403" t="s">
        <v>333</v>
      </c>
      <c r="D52" s="503" t="s">
        <v>25</v>
      </c>
      <c r="E52" s="506" t="str">
        <f>HYPERLINK("https://www.reddit.com/r/RMTK/comments/dkz3ba/w0043_intrekkingswet_accijnswet/","Intrekkingswet accijnswet")</f>
        <v>Intrekkingswet accijnswet</v>
      </c>
      <c r="F52" s="353"/>
      <c r="G52" s="252" t="s">
        <v>118</v>
      </c>
      <c r="H52" s="402" t="s">
        <v>118</v>
      </c>
      <c r="I52" s="351"/>
      <c r="J52" s="354" t="s">
        <v>166</v>
      </c>
      <c r="K52" s="507" t="s">
        <v>170</v>
      </c>
      <c r="L52" s="351"/>
      <c r="M52" s="252" t="s">
        <v>356</v>
      </c>
      <c r="N52" s="353"/>
      <c r="O52" s="354" t="s">
        <v>61</v>
      </c>
    </row>
    <row r="53" ht="17.25" customHeight="1">
      <c r="B53" s="478" t="s">
        <v>645</v>
      </c>
      <c r="C53" s="479" t="s">
        <v>589</v>
      </c>
      <c r="D53" s="479" t="s">
        <v>639</v>
      </c>
      <c r="E53" s="508" t="str">
        <f>hyperlink("https://www.reddit.com/r/RMTK/comments/dm1lyl/w0044_noodwet_stikfstofverbindingsproblematiek/","Noodwet stikfstofverbindingsproblematiek")</f>
        <v>Noodwet stikfstofverbindingsproblematiek</v>
      </c>
      <c r="F53" s="353"/>
      <c r="G53" s="252" t="s">
        <v>118</v>
      </c>
      <c r="H53" s="402" t="s">
        <v>118</v>
      </c>
      <c r="I53" s="351"/>
      <c r="J53" s="354" t="s">
        <v>166</v>
      </c>
      <c r="K53" s="507" t="s">
        <v>166</v>
      </c>
      <c r="L53" s="351"/>
      <c r="M53" s="252" t="s">
        <v>646</v>
      </c>
      <c r="N53" s="353"/>
      <c r="O53" s="354" t="s">
        <v>61</v>
      </c>
    </row>
    <row r="54" ht="17.25" customHeight="1">
      <c r="B54" s="474" t="s">
        <v>647</v>
      </c>
      <c r="C54" s="479" t="s">
        <v>589</v>
      </c>
      <c r="D54" s="479" t="s">
        <v>16</v>
      </c>
      <c r="E54" s="506" t="str">
        <f>HYPERLINK("https://www.reddit.com/r/RMTK/comments/ds2nrf/w0046_rijksbegroting_2020_buitenlandse_zaken/","Rijksbegroting 2020 - Buitenlandse Zaken")</f>
        <v>Rijksbegroting 2020 - Buitenlandse Zaken</v>
      </c>
      <c r="F54" s="353"/>
      <c r="G54" s="252" t="s">
        <v>118</v>
      </c>
      <c r="H54" s="402" t="s">
        <v>118</v>
      </c>
      <c r="I54" s="351"/>
      <c r="J54" s="354" t="s">
        <v>166</v>
      </c>
      <c r="K54" s="507" t="s">
        <v>166</v>
      </c>
      <c r="L54" s="351"/>
      <c r="M54" s="252" t="s">
        <v>356</v>
      </c>
      <c r="N54" s="353"/>
      <c r="O54" s="354" t="s">
        <v>61</v>
      </c>
    </row>
    <row r="55" ht="17.25" customHeight="1">
      <c r="B55" s="478" t="s">
        <v>648</v>
      </c>
      <c r="C55" s="479" t="s">
        <v>589</v>
      </c>
      <c r="D55" s="479" t="s">
        <v>16</v>
      </c>
      <c r="E55" s="508" t="str">
        <f>HYPERLINK("https://www.reddit.com/r/RMTK/comments/ds2nu7/w0047_rijksbegroting_2020_defensie_en/","Rijksbegroting 2020 - Defensie en Ontwikkelingssamenwerking")</f>
        <v>Rijksbegroting 2020 - Defensie en Ontwikkelingssamenwerking</v>
      </c>
      <c r="F55" s="353"/>
      <c r="G55" s="252" t="s">
        <v>118</v>
      </c>
      <c r="H55" s="402" t="s">
        <v>118</v>
      </c>
      <c r="I55" s="351"/>
      <c r="J55" s="354" t="s">
        <v>166</v>
      </c>
      <c r="K55" s="507" t="s">
        <v>166</v>
      </c>
      <c r="L55" s="351"/>
      <c r="M55" s="252" t="s">
        <v>356</v>
      </c>
      <c r="N55" s="353"/>
      <c r="O55" s="354" t="s">
        <v>61</v>
      </c>
    </row>
    <row r="56" ht="17.25" customHeight="1">
      <c r="B56" s="474" t="s">
        <v>649</v>
      </c>
      <c r="C56" s="413" t="s">
        <v>36</v>
      </c>
      <c r="D56" s="413" t="s">
        <v>176</v>
      </c>
      <c r="E56" s="506" t="str">
        <f>HYPERLINK("https://www.reddit.com/r/RMTK/comments/dskcsu/w0048_sanctiewet_republiek_turkije_turkse/","Sanctiewet Republiek Turkije &amp; Turkse Republiek Noord-Cyprus 2019")</f>
        <v>Sanctiewet Republiek Turkije &amp; Turkse Republiek Noord-Cyprus 2019</v>
      </c>
      <c r="F56" s="353"/>
      <c r="G56" s="412" t="str">
        <f>HYPERLINK("https://www.reddit.com/r/RMTK/comments/dtj67r/w0048i_amendement_sanctiewet_republiek_turkije/","A-1")</f>
        <v>A-1</v>
      </c>
      <c r="H56" s="402" t="s">
        <v>595</v>
      </c>
      <c r="I56" s="351"/>
      <c r="J56" s="354" t="s">
        <v>166</v>
      </c>
      <c r="K56" s="507" t="s">
        <v>166</v>
      </c>
      <c r="L56" s="351"/>
      <c r="M56" s="252" t="s">
        <v>183</v>
      </c>
      <c r="N56" s="353"/>
      <c r="O56" s="354" t="s">
        <v>61</v>
      </c>
    </row>
    <row r="57" ht="17.25" customHeight="1">
      <c r="F57" s="353"/>
      <c r="G57" s="412" t="str">
        <f>HYPERLINK("https://www.reddit.com/r/RMTK/comments/dtjaf2/amendement_sanctiewet_republiek_turkije_turkse/","A-2")</f>
        <v>A-2</v>
      </c>
      <c r="H57" s="402" t="s">
        <v>592</v>
      </c>
      <c r="I57" s="351"/>
      <c r="K57" s="135"/>
      <c r="L57" s="351"/>
      <c r="N57" s="353"/>
    </row>
    <row r="58" ht="17.25" customHeight="1">
      <c r="B58" s="474" t="s">
        <v>650</v>
      </c>
      <c r="C58" s="403" t="s">
        <v>333</v>
      </c>
      <c r="D58" s="503" t="s">
        <v>106</v>
      </c>
      <c r="E58" s="506" t="str">
        <f>HYPERLINK("https://www.reddit.com/r/RMTK/comments/dvhfjp/w0049_wetswijziging_tot_toestaan_polyamorisch/","Wetswijziging tot toestaan polyamorisch huwelijk")</f>
        <v>Wetswijziging tot toestaan polyamorisch huwelijk</v>
      </c>
      <c r="F58" s="353"/>
      <c r="G58" s="252" t="s">
        <v>118</v>
      </c>
      <c r="H58" s="402" t="s">
        <v>118</v>
      </c>
      <c r="I58" s="351"/>
      <c r="J58" s="354" t="s">
        <v>166</v>
      </c>
      <c r="K58" s="354" t="s">
        <v>166</v>
      </c>
      <c r="L58" s="351"/>
      <c r="M58" s="252" t="s">
        <v>358</v>
      </c>
      <c r="N58" s="353"/>
      <c r="O58" s="354" t="s">
        <v>61</v>
      </c>
    </row>
    <row r="59" ht="17.25" customHeight="1">
      <c r="B59" s="478" t="s">
        <v>651</v>
      </c>
      <c r="C59" s="479" t="s">
        <v>589</v>
      </c>
      <c r="D59" s="479" t="s">
        <v>652</v>
      </c>
      <c r="E59" s="508" t="str">
        <f>HYPERLINK("reddit.com/r/RMTK/comments/dvxgay/w0050_intrekkingswetsvoorstel_wetswijzing/","Intrekkingswetsvoorstel Wetswijzing spoorwegenwet tot deprivatisering van de spoorwegen")</f>
        <v>Intrekkingswetsvoorstel Wetswijzing spoorwegenwet tot deprivatisering van de spoorwegen</v>
      </c>
      <c r="F59" s="353"/>
      <c r="G59" s="252" t="s">
        <v>118</v>
      </c>
      <c r="H59" s="402" t="s">
        <v>118</v>
      </c>
      <c r="I59" s="351"/>
      <c r="J59" s="354" t="s">
        <v>166</v>
      </c>
      <c r="K59" s="354" t="s">
        <v>166</v>
      </c>
      <c r="L59" s="351"/>
      <c r="M59" s="252" t="s">
        <v>363</v>
      </c>
      <c r="N59" s="353"/>
      <c r="O59" s="354" t="s">
        <v>61</v>
      </c>
    </row>
    <row r="60" ht="17.25" customHeight="1">
      <c r="B60" s="474" t="s">
        <v>653</v>
      </c>
      <c r="C60" s="364" t="s">
        <v>31</v>
      </c>
      <c r="D60" s="364" t="s">
        <v>32</v>
      </c>
      <c r="E60" s="509" t="str">
        <f>HYPERLINK("https://www.reddit.com/r/RMTK/comments/dwce3f/w0051_wijziging_van_de_grondwet_vanwege_het/","Wijziging van de Grondwet vanwege het opheffen van de vrijheid van onderwijs")</f>
        <v>Wijziging van de Grondwet vanwege het opheffen van de vrijheid van onderwijs</v>
      </c>
      <c r="F60" s="353"/>
      <c r="G60" s="252" t="s">
        <v>118</v>
      </c>
      <c r="H60" s="402" t="s">
        <v>118</v>
      </c>
      <c r="I60" s="351"/>
      <c r="J60" s="354" t="s">
        <v>170</v>
      </c>
      <c r="K60" s="507" t="s">
        <v>118</v>
      </c>
      <c r="L60" s="351"/>
      <c r="M60" s="252" t="s">
        <v>373</v>
      </c>
      <c r="N60" s="353"/>
      <c r="O60" s="354" t="s">
        <v>61</v>
      </c>
    </row>
    <row r="61" ht="17.25" customHeight="1">
      <c r="B61" s="478" t="s">
        <v>654</v>
      </c>
      <c r="C61" s="403" t="s">
        <v>333</v>
      </c>
      <c r="D61" s="503" t="s">
        <v>106</v>
      </c>
      <c r="E61" s="508" t="str">
        <f>HYPERLINK("https://www.reddit.com/r/RMTK/comments/dy8slq/w0052_wetswijziging_ter_afschaffing_van_de/","Wetswijziging ter afschaffing van de thuiskopieheffing")</f>
        <v>Wetswijziging ter afschaffing van de thuiskopieheffing</v>
      </c>
      <c r="F61" s="353"/>
      <c r="G61" s="252" t="s">
        <v>118</v>
      </c>
      <c r="H61" s="402" t="s">
        <v>118</v>
      </c>
      <c r="I61" s="351"/>
      <c r="J61" s="354" t="s">
        <v>166</v>
      </c>
      <c r="K61" s="507" t="s">
        <v>166</v>
      </c>
      <c r="L61" s="351"/>
      <c r="M61" s="252" t="s">
        <v>353</v>
      </c>
      <c r="N61" s="353"/>
      <c r="O61" s="354" t="s">
        <v>61</v>
      </c>
    </row>
    <row r="62" ht="17.25" customHeight="1">
      <c r="B62" s="474" t="s">
        <v>655</v>
      </c>
      <c r="C62" s="413" t="s">
        <v>36</v>
      </c>
      <c r="D62" s="413" t="s">
        <v>103</v>
      </c>
      <c r="E62" s="506" t="str">
        <f>hyperlink("https://www.reddit.com/r/RMTK/comments/dzl2ov/w0053_wet_bestrijding_friese_terreur/?","Wet bestrijding Friese terreur")</f>
        <v>Wet bestrijding Friese terreur</v>
      </c>
      <c r="F62" s="353"/>
      <c r="G62" s="252" t="s">
        <v>118</v>
      </c>
      <c r="H62" s="402" t="s">
        <v>118</v>
      </c>
      <c r="I62" s="351"/>
      <c r="J62" s="354" t="s">
        <v>170</v>
      </c>
      <c r="K62" s="507" t="s">
        <v>118</v>
      </c>
      <c r="L62" s="351"/>
      <c r="M62" s="252" t="s">
        <v>358</v>
      </c>
      <c r="N62" s="353"/>
      <c r="O62" s="354" t="s">
        <v>61</v>
      </c>
    </row>
    <row r="63" ht="7.5" customHeight="1">
      <c r="A63" s="370"/>
      <c r="B63" s="374"/>
      <c r="C63" s="371"/>
      <c r="D63" s="371"/>
      <c r="E63" s="485"/>
      <c r="F63" s="375"/>
      <c r="G63" s="374"/>
      <c r="H63" s="486"/>
      <c r="I63" s="373"/>
      <c r="J63" s="370"/>
      <c r="K63" s="373"/>
      <c r="L63" s="373"/>
      <c r="M63" s="374"/>
      <c r="N63" s="375"/>
      <c r="O63" s="370"/>
    </row>
    <row r="64" ht="17.25" customHeight="1">
      <c r="A64" s="347" t="s">
        <v>380</v>
      </c>
      <c r="B64" s="348" t="s">
        <v>656</v>
      </c>
      <c r="C64" s="479" t="s">
        <v>589</v>
      </c>
      <c r="D64" s="479" t="s">
        <v>106</v>
      </c>
      <c r="E64" s="510" t="str">
        <f>hyperlink("https://www.reddit.com/r/RMTK/comments/e5znmk/w0054_grondwetswijziging_ter/","Grondwetswijziging ter deconstitutionalisering van de benoeming van de commissaris van de Koning en de burgemeester")</f>
        <v>Grondwetswijziging ter deconstitutionalisering van de benoeming van de commissaris van de Koning en de burgemeester</v>
      </c>
      <c r="F64" s="353"/>
      <c r="G64" s="252" t="s">
        <v>118</v>
      </c>
      <c r="H64" s="402" t="s">
        <v>118</v>
      </c>
      <c r="I64" s="351"/>
      <c r="J64" s="354" t="s">
        <v>166</v>
      </c>
      <c r="K64" s="507" t="s">
        <v>166</v>
      </c>
      <c r="L64" s="351"/>
      <c r="M64" s="252" t="s">
        <v>173</v>
      </c>
      <c r="N64" s="353"/>
      <c r="O64" s="354" t="s">
        <v>61</v>
      </c>
    </row>
    <row r="65" ht="17.25" customHeight="1">
      <c r="B65" s="348" t="s">
        <v>657</v>
      </c>
      <c r="C65" s="479" t="s">
        <v>589</v>
      </c>
      <c r="D65" s="479" t="s">
        <v>106</v>
      </c>
      <c r="E65" s="511" t="str">
        <f>hyperlink("https://www.reddit.com/r/RMTK/comments/e6gw21/w0055_wetswijziging_tot_het_uitbreiden_van_de/","Wetswijziging tot het uitbreiden van de Toetsingscommissie Inzet Bevoegdheden en afdeling toezicht")</f>
        <v>Wetswijziging tot het uitbreiden van de Toetsingscommissie Inzet Bevoegdheden en afdeling toezicht</v>
      </c>
      <c r="F65" s="353"/>
      <c r="G65" s="252" t="s">
        <v>118</v>
      </c>
      <c r="H65" s="402" t="s">
        <v>118</v>
      </c>
      <c r="I65" s="351"/>
      <c r="J65" s="354" t="s">
        <v>166</v>
      </c>
      <c r="K65" s="507" t="s">
        <v>166</v>
      </c>
      <c r="L65" s="351"/>
      <c r="M65" s="252" t="s">
        <v>173</v>
      </c>
      <c r="N65" s="353"/>
      <c r="O65" s="354" t="s">
        <v>61</v>
      </c>
    </row>
    <row r="66" ht="17.25" customHeight="1">
      <c r="B66" s="348" t="s">
        <v>658</v>
      </c>
      <c r="C66" s="364" t="s">
        <v>31</v>
      </c>
      <c r="D66" s="364" t="s">
        <v>32</v>
      </c>
      <c r="E66" s="487" t="str">
        <f>HYPERLINK("https://www.reddit.com/r/RMTK/comments/e8pqs7/w0056_wijziging_van_de_algemene_ouderdomswet/","Wijziging van de Algemene Ouderdomswet vanwege het verlagen van de pensioenleeftijd naar 65 jaar")</f>
        <v>Wijziging van de Algemene Ouderdomswet vanwege het verlagen van de pensioenleeftijd naar 65 jaar</v>
      </c>
      <c r="F66" s="353"/>
      <c r="G66" s="252" t="s">
        <v>118</v>
      </c>
      <c r="H66" s="402" t="s">
        <v>118</v>
      </c>
      <c r="I66" s="351"/>
      <c r="J66" s="354" t="s">
        <v>170</v>
      </c>
      <c r="K66" s="507" t="s">
        <v>118</v>
      </c>
      <c r="L66" s="351"/>
      <c r="M66" s="252" t="s">
        <v>253</v>
      </c>
      <c r="N66" s="353"/>
      <c r="O66" s="354" t="s">
        <v>61</v>
      </c>
    </row>
    <row r="67" ht="17.25" customHeight="1">
      <c r="B67" s="348" t="s">
        <v>659</v>
      </c>
      <c r="C67" s="479" t="s">
        <v>589</v>
      </c>
      <c r="D67" s="479" t="s">
        <v>106</v>
      </c>
      <c r="E67" s="487" t="str">
        <f>HYPERLINK("https://www.reddit.com/r/RMTK/comments/ebeafj/w0057_wetsvoorstel_tot_oprichting_van_het/","Wetsvoorstel tot oprichting van het 'President Gunnz011 fund for Sexual Education, Abortion Rights and Woman Health'")</f>
        <v>Wetsvoorstel tot oprichting van het 'President Gunnz011 fund for Sexual Education, Abortion Rights and Woman Health'</v>
      </c>
      <c r="F67" s="353"/>
      <c r="G67" s="412" t="str">
        <f>HYPERLINK("https://www.reddit.com/r/RMTK/comments/eek1v9/w0057i_amendement_tot_wijziging_van_het/","A-1")</f>
        <v>A-1</v>
      </c>
      <c r="H67" s="402" t="s">
        <v>592</v>
      </c>
      <c r="I67" s="351"/>
      <c r="J67" s="354" t="s">
        <v>170</v>
      </c>
      <c r="K67" s="507" t="s">
        <v>118</v>
      </c>
      <c r="L67" s="351"/>
      <c r="M67" s="252" t="s">
        <v>183</v>
      </c>
      <c r="N67" s="353"/>
      <c r="O67" s="354" t="s">
        <v>61</v>
      </c>
    </row>
    <row r="68" ht="17.25" customHeight="1">
      <c r="B68" s="348" t="s">
        <v>660</v>
      </c>
      <c r="C68" s="479" t="s">
        <v>589</v>
      </c>
      <c r="D68" s="479" t="s">
        <v>101</v>
      </c>
      <c r="E68" s="487" t="str">
        <f>HYPERLINK("https://www.reddit.com/r/RMTK/comments/ecbver/w0058_wet_verkorting_uitkeringsduur_appa_2020/","Wet verkorting uitkeringsduur Appa 2020")</f>
        <v>Wet verkorting uitkeringsduur Appa 2020</v>
      </c>
      <c r="F68" s="353"/>
      <c r="G68" s="252" t="s">
        <v>118</v>
      </c>
      <c r="H68" s="402" t="s">
        <v>118</v>
      </c>
      <c r="I68" s="351"/>
      <c r="J68" s="354" t="s">
        <v>166</v>
      </c>
      <c r="K68" s="507" t="s">
        <v>166</v>
      </c>
      <c r="L68" s="351"/>
      <c r="M68" s="252" t="s">
        <v>358</v>
      </c>
      <c r="N68" s="353"/>
      <c r="O68" s="354" t="s">
        <v>61</v>
      </c>
    </row>
    <row r="69" ht="17.25" customHeight="1">
      <c r="B69" s="348" t="s">
        <v>661</v>
      </c>
      <c r="C69" s="413" t="s">
        <v>36</v>
      </c>
      <c r="D69" s="413" t="s">
        <v>176</v>
      </c>
      <c r="E69" s="487" t="str">
        <f>HYPERLINK("https://www.reddit.com/r/RMTK/comments/efm3vz/w0059_wetsvoorstel_tot_budgettaire_begroting/","Wetsvoorstel tot budgettaire begroting lancering en uitvoering Brik II satelliet")</f>
        <v>Wetsvoorstel tot budgettaire begroting lancering en uitvoering Brik II satelliet</v>
      </c>
      <c r="F69" s="353"/>
      <c r="G69" s="252" t="s">
        <v>118</v>
      </c>
      <c r="H69" s="402" t="s">
        <v>118</v>
      </c>
      <c r="I69" s="351"/>
      <c r="J69" s="354" t="s">
        <v>166</v>
      </c>
      <c r="K69" s="507" t="s">
        <v>166</v>
      </c>
      <c r="L69" s="351"/>
      <c r="M69" s="252" t="s">
        <v>218</v>
      </c>
      <c r="N69" s="353"/>
      <c r="O69" s="354" t="s">
        <v>61</v>
      </c>
    </row>
    <row r="70" ht="17.25" customHeight="1">
      <c r="B70" s="348" t="s">
        <v>662</v>
      </c>
      <c r="C70" s="479" t="s">
        <v>589</v>
      </c>
      <c r="D70" s="479" t="s">
        <v>106</v>
      </c>
      <c r="E70" s="487" t="str">
        <f>HYPERLINK("https://www.reddit.com/r/RMTK/comments/eixzg8/w0060_wetswijziging_tot_verhoging_algemene/","Wetswijziging tot verhoging algemene kinderbijslag en introductie grote gezinnentoeslag")</f>
        <v>Wetswijziging tot verhoging algemene kinderbijslag en introductie grote gezinnentoeslag</v>
      </c>
      <c r="F70" s="353"/>
      <c r="G70" s="252" t="s">
        <v>118</v>
      </c>
      <c r="H70" s="402" t="s">
        <v>118</v>
      </c>
      <c r="I70" s="351"/>
      <c r="J70" s="354" t="s">
        <v>166</v>
      </c>
      <c r="K70" s="507" t="s">
        <v>166</v>
      </c>
      <c r="L70" s="351"/>
      <c r="M70" s="252" t="s">
        <v>253</v>
      </c>
      <c r="N70" s="353"/>
      <c r="O70" s="354" t="s">
        <v>61</v>
      </c>
    </row>
    <row r="71" ht="17.25" customHeight="1">
      <c r="B71" s="348" t="s">
        <v>663</v>
      </c>
      <c r="C71" s="364" t="s">
        <v>31</v>
      </c>
      <c r="D71" s="364" t="s">
        <v>32</v>
      </c>
      <c r="E71" s="491" t="str">
        <f>HYPERLINK("https://www.reddit.com/r/RMTK/comments/em9c3k/w0061_rijkswet_afkondigings_en/","Rijkswetsvoorstel afkondigings- en kennisgevingsformulieren")</f>
        <v>Rijkswetsvoorstel afkondigings- en kennisgevingsformulieren</v>
      </c>
      <c r="F71" s="353"/>
      <c r="G71" s="252" t="s">
        <v>118</v>
      </c>
      <c r="H71" s="402" t="s">
        <v>118</v>
      </c>
      <c r="I71" s="351"/>
      <c r="J71" s="354" t="s">
        <v>166</v>
      </c>
      <c r="K71" s="507" t="s">
        <v>166</v>
      </c>
      <c r="L71" s="351"/>
      <c r="M71" s="252" t="s">
        <v>173</v>
      </c>
      <c r="N71" s="353"/>
      <c r="O71" s="354" t="s">
        <v>61</v>
      </c>
    </row>
    <row r="72" ht="17.25" customHeight="1">
      <c r="B72" s="348" t="s">
        <v>664</v>
      </c>
      <c r="C72" s="479" t="s">
        <v>589</v>
      </c>
      <c r="D72" s="479" t="s">
        <v>16</v>
      </c>
      <c r="E72" s="512" t="str">
        <f>HYPERLINK("https://www.reddit.com/r/RMTK/comments/eo3tv9/w0062_wet_tot_het_samenvoegen_van_de_rustwetten/","Wet tot het samenvoegen van de rustwetten en het implementeren van feestdagenlijsten")</f>
        <v>Wet tot het samenvoegen van de rustwetten en het implementeren van feestdagenlijsten</v>
      </c>
      <c r="F72" s="353"/>
      <c r="G72" s="252" t="s">
        <v>118</v>
      </c>
      <c r="H72" s="402" t="s">
        <v>118</v>
      </c>
      <c r="I72" s="351"/>
      <c r="J72" s="354" t="s">
        <v>166</v>
      </c>
      <c r="K72" s="507" t="s">
        <v>166</v>
      </c>
      <c r="L72" s="351"/>
      <c r="M72" s="252" t="s">
        <v>218</v>
      </c>
      <c r="N72" s="353"/>
      <c r="O72" s="354" t="s">
        <v>61</v>
      </c>
    </row>
    <row r="73" ht="17.25" customHeight="1">
      <c r="B73" s="348" t="s">
        <v>665</v>
      </c>
      <c r="C73" s="479" t="s">
        <v>589</v>
      </c>
      <c r="D73" s="479" t="s">
        <v>37</v>
      </c>
      <c r="E73" s="487" t="str">
        <f>HYPERLINK("https://www.reddit.com/r/RMTK/comments/eokzf9/w0063_wet_tot_oprichting_van_het/","Wet tot oprichting van het Stimuleringsfonds regionaal spoorvervoer")</f>
        <v>Wet tot oprichting van het Stimuleringsfonds regionaal spoorvervoer</v>
      </c>
      <c r="F73" s="353"/>
      <c r="G73" s="252" t="s">
        <v>118</v>
      </c>
      <c r="H73" s="402" t="s">
        <v>118</v>
      </c>
      <c r="I73" s="351"/>
      <c r="J73" s="354" t="s">
        <v>166</v>
      </c>
      <c r="K73" s="507" t="s">
        <v>166</v>
      </c>
      <c r="L73" s="351"/>
      <c r="M73" s="252" t="s">
        <v>376</v>
      </c>
      <c r="N73" s="353"/>
      <c r="O73" s="354" t="s">
        <v>61</v>
      </c>
    </row>
    <row r="74" ht="17.25" customHeight="1">
      <c r="B74" s="348" t="s">
        <v>666</v>
      </c>
      <c r="C74" s="513" t="s">
        <v>589</v>
      </c>
      <c r="D74" s="479" t="s">
        <v>106</v>
      </c>
      <c r="E74" s="487" t="str">
        <f>HYPERLINK("https://www.reddit.com/r/RMTK/comments/esssij/w0064_wet_gelijke_behandeling_op_grond_van/","Wet gelijke behandeling op grond van afkomst bij de arbeid")</f>
        <v>Wet gelijke behandeling op grond van afkomst bij de arbeid</v>
      </c>
      <c r="F74" s="353"/>
      <c r="G74" s="252" t="s">
        <v>118</v>
      </c>
      <c r="H74" s="402" t="s">
        <v>118</v>
      </c>
      <c r="I74" s="351"/>
      <c r="J74" s="354" t="s">
        <v>166</v>
      </c>
      <c r="K74" s="507" t="s">
        <v>166</v>
      </c>
      <c r="L74" s="351"/>
      <c r="M74" s="252" t="s">
        <v>253</v>
      </c>
      <c r="N74" s="353"/>
      <c r="O74" s="354" t="s">
        <v>61</v>
      </c>
    </row>
    <row r="75" ht="17.25" customHeight="1">
      <c r="B75" s="348" t="s">
        <v>667</v>
      </c>
      <c r="C75" s="513" t="s">
        <v>589</v>
      </c>
      <c r="D75" s="479" t="s">
        <v>25</v>
      </c>
      <c r="E75" s="487" t="str">
        <f>HYPERLINK("https://www.reddit.com/r/RMTK/comments/evvxqc/w0065_wetswijziging_drank_en_horecawet/","Wetswijziging Drank- en Horecawet")</f>
        <v>Wetswijziging Drank- en Horecawet</v>
      </c>
      <c r="F75" s="353"/>
      <c r="G75" s="252" t="s">
        <v>118</v>
      </c>
      <c r="H75" s="402" t="s">
        <v>118</v>
      </c>
      <c r="I75" s="351"/>
      <c r="J75" s="354" t="s">
        <v>170</v>
      </c>
      <c r="K75" s="507" t="s">
        <v>118</v>
      </c>
      <c r="L75" s="351"/>
      <c r="M75" s="252" t="s">
        <v>253</v>
      </c>
      <c r="N75" s="353"/>
      <c r="O75" s="354" t="s">
        <v>61</v>
      </c>
    </row>
    <row r="76" ht="17.25" customHeight="1">
      <c r="B76" s="348" t="s">
        <v>668</v>
      </c>
      <c r="C76" s="479" t="s">
        <v>589</v>
      </c>
      <c r="D76" s="479" t="s">
        <v>37</v>
      </c>
      <c r="E76" s="487" t="str">
        <f>HYPERLINK("https://www.reddit.com/r/RMTK/comments/ev5bje/w0066_wijziging_van_de_kernenergiewet_ter/","Wijziging van de Kernenergiewet ter voorkoming van sluiting kerncentrale Borssele")</f>
        <v>Wijziging van de Kernenergiewet ter voorkoming van sluiting kerncentrale Borssele</v>
      </c>
      <c r="F76" s="353"/>
      <c r="G76" s="252" t="s">
        <v>118</v>
      </c>
      <c r="H76" s="402" t="s">
        <v>118</v>
      </c>
      <c r="I76" s="351"/>
      <c r="J76" s="354" t="s">
        <v>166</v>
      </c>
      <c r="K76" s="507" t="s">
        <v>166</v>
      </c>
      <c r="L76" s="351"/>
      <c r="M76" s="252" t="s">
        <v>376</v>
      </c>
      <c r="N76" s="353"/>
      <c r="O76" s="354" t="s">
        <v>61</v>
      </c>
    </row>
    <row r="77" ht="17.25" customHeight="1">
      <c r="B77" s="348" t="s">
        <v>669</v>
      </c>
      <c r="C77" s="403" t="s">
        <v>24</v>
      </c>
      <c r="D77" s="503" t="s">
        <v>141</v>
      </c>
      <c r="E77" s="487" t="str">
        <f>HYPERLINK("https://www.reddit.com/r/RMTK/comments/ewnh2a/w0067_wetswijziging_afschaffing_verzwaarde/","Wetswijziging afschaffing verzwaarde strafbaarstelling belediging van een ambtenaar in functie")</f>
        <v>Wetswijziging afschaffing verzwaarde strafbaarstelling belediging van een ambtenaar in functie</v>
      </c>
      <c r="F77" s="353"/>
      <c r="G77" s="252" t="s">
        <v>118</v>
      </c>
      <c r="H77" s="402" t="s">
        <v>118</v>
      </c>
      <c r="I77" s="351"/>
      <c r="J77" s="354" t="s">
        <v>166</v>
      </c>
      <c r="K77" s="507" t="s">
        <v>166</v>
      </c>
      <c r="L77" s="351"/>
      <c r="M77" s="252" t="s">
        <v>358</v>
      </c>
      <c r="N77" s="353"/>
      <c r="O77" s="354" t="s">
        <v>61</v>
      </c>
    </row>
    <row r="78" ht="17.25" customHeight="1">
      <c r="B78" s="348" t="s">
        <v>670</v>
      </c>
      <c r="C78" s="479" t="s">
        <v>589</v>
      </c>
      <c r="D78" s="479" t="s">
        <v>16</v>
      </c>
      <c r="E78" s="487" t="str">
        <f>HYPERLINK("https://www.reddit.com/r/RMTK/comments/ey660k/w0068_wijziging_van_de_algemene_rustwet_voor_de/","Wijziging van de Algemene Rustwet voor de mogelijkheid om dagen toe te voegen waarop het tweede hoofdstuk van toepassing is")</f>
        <v>Wijziging van de Algemene Rustwet voor de mogelijkheid om dagen toe te voegen waarop het tweede hoofdstuk van toepassing is</v>
      </c>
      <c r="F78" s="353"/>
      <c r="G78" s="252" t="s">
        <v>118</v>
      </c>
      <c r="H78" s="402" t="s">
        <v>118</v>
      </c>
      <c r="I78" s="351"/>
      <c r="J78" s="354" t="s">
        <v>166</v>
      </c>
      <c r="K78" s="507" t="s">
        <v>166</v>
      </c>
      <c r="L78" s="351"/>
      <c r="M78" s="252" t="s">
        <v>218</v>
      </c>
      <c r="N78" s="353"/>
      <c r="O78" s="354" t="s">
        <v>61</v>
      </c>
    </row>
    <row r="79" ht="17.25" customHeight="1">
      <c r="B79" s="348" t="s">
        <v>671</v>
      </c>
      <c r="C79" s="479" t="s">
        <v>589</v>
      </c>
      <c r="D79" s="479" t="s">
        <v>16</v>
      </c>
      <c r="E79" s="487" t="str">
        <f>HYPERLINK("https://www.reddit.com/r/RMTK/comments/ewsp33/w0069_wetsvoorstel_tot_oprichting_alan/","Wetsvoorstel tot oprichting Alan Turingfonds voor Encryptie")</f>
        <v>Wetsvoorstel tot oprichting Alan Turingfonds voor Encryptie</v>
      </c>
      <c r="F79" s="353"/>
      <c r="G79" s="498" t="str">
        <f>HYPERLINK("https://www.reddit.com/r/RMTK/comments/f1hnca/w0069i_wetsvoorstel_tot_oprichting_van_het_alan/","A-1")</f>
        <v>A-1</v>
      </c>
      <c r="H79" s="505" t="s">
        <v>595</v>
      </c>
      <c r="I79" s="351"/>
      <c r="J79" s="354" t="s">
        <v>166</v>
      </c>
      <c r="K79" s="507" t="s">
        <v>166</v>
      </c>
      <c r="L79" s="351"/>
      <c r="M79" s="252" t="s">
        <v>218</v>
      </c>
      <c r="N79" s="353"/>
      <c r="O79" s="354" t="s">
        <v>61</v>
      </c>
    </row>
    <row r="80" ht="17.25" customHeight="1">
      <c r="B80" s="348" t="s">
        <v>672</v>
      </c>
      <c r="C80" s="377" t="s">
        <v>214</v>
      </c>
      <c r="D80" s="377" t="s">
        <v>182</v>
      </c>
      <c r="E80" s="487" t="str">
        <f>HYPERLINK("https://www.reddit.com/r/RMTK/comments/f58gig/w0070_voorstel_wet_derde_geslacht/","Voorstel wet derde geslacht")</f>
        <v>Voorstel wet derde geslacht</v>
      </c>
      <c r="F80" s="353"/>
      <c r="G80" s="252" t="s">
        <v>118</v>
      </c>
      <c r="H80" s="402" t="s">
        <v>118</v>
      </c>
      <c r="I80" s="351"/>
      <c r="J80" s="354" t="s">
        <v>166</v>
      </c>
      <c r="K80" s="507" t="s">
        <v>166</v>
      </c>
      <c r="L80" s="351"/>
      <c r="M80" s="252" t="s">
        <v>253</v>
      </c>
      <c r="N80" s="353"/>
      <c r="O80" s="354" t="s">
        <v>61</v>
      </c>
    </row>
    <row r="81" ht="17.25" customHeight="1">
      <c r="B81" s="348" t="s">
        <v>673</v>
      </c>
      <c r="C81" s="413" t="s">
        <v>36</v>
      </c>
      <c r="D81" s="413" t="s">
        <v>674</v>
      </c>
      <c r="E81" s="487" t="str">
        <f>HYPERLINK("https://www.reddit.com/r/RMTK/comments/f5rhvs/w0071_wet_op_de_kansspelen_2020/","Wet op de kansspelen 2020")</f>
        <v>Wet op de kansspelen 2020</v>
      </c>
      <c r="F81" s="353"/>
      <c r="G81" s="252" t="s">
        <v>118</v>
      </c>
      <c r="H81" s="402" t="s">
        <v>118</v>
      </c>
      <c r="I81" s="351"/>
      <c r="J81" s="354" t="s">
        <v>170</v>
      </c>
      <c r="K81" s="507" t="s">
        <v>118</v>
      </c>
      <c r="L81" s="351"/>
      <c r="M81" s="252" t="s">
        <v>218</v>
      </c>
      <c r="N81" s="353"/>
      <c r="O81" s="354" t="s">
        <v>61</v>
      </c>
    </row>
    <row r="82" ht="17.25" customHeight="1">
      <c r="B82" s="348" t="s">
        <v>675</v>
      </c>
      <c r="C82" s="513" t="s">
        <v>589</v>
      </c>
      <c r="D82" s="479" t="s">
        <v>106</v>
      </c>
      <c r="E82" s="487" t="str">
        <f>hyperlink("https://www.reddit.com/r/RMTK/comments/f71ubr/w0072_wet_tot_inkomensafhankelijke_regeling/","Wet tot inkomensafhankelijke regeling gratis bibliotheekvoorzieningen")</f>
        <v>Wet tot inkomensafhankelijke regeling gratis bibliotheekvoorzieningen</v>
      </c>
      <c r="F82" s="353"/>
      <c r="G82" s="412" t="str">
        <f>HYPERLINK("https://www.reddit.com/r/RMTK/comments/fd455m/w0072i_amendement_tot_wijziging_van_w0072_wet_tot/","A-1")</f>
        <v>A-1</v>
      </c>
      <c r="H82" s="402" t="s">
        <v>595</v>
      </c>
      <c r="I82" s="351"/>
      <c r="J82" s="354" t="s">
        <v>166</v>
      </c>
      <c r="K82" s="507" t="s">
        <v>166</v>
      </c>
      <c r="L82" s="351"/>
      <c r="M82" s="252" t="s">
        <v>216</v>
      </c>
      <c r="N82" s="353"/>
      <c r="O82" s="354" t="s">
        <v>61</v>
      </c>
    </row>
    <row r="83" ht="17.25" customHeight="1">
      <c r="B83" s="348" t="s">
        <v>676</v>
      </c>
      <c r="C83" s="389" t="s">
        <v>255</v>
      </c>
      <c r="D83" s="389" t="s">
        <v>201</v>
      </c>
      <c r="E83" s="487" t="str">
        <f>hyperlink("https://www.reddit.com/r/RMTK/comments/f9swuj/w0073_wet_tot_invoering_reinheitsgebot20/","Wet tot invoering Reinheitsgebot-2.0")</f>
        <v>Wet tot invoering Reinheitsgebot-2.0</v>
      </c>
      <c r="F83" s="353"/>
      <c r="G83" s="412" t="str">
        <f>HYPERLINK("https://www.reddit.com/r/RMTK/comments/fd455r/w0073i_amendement_tot_wijziging_van_het/","A-1")</f>
        <v>A-1</v>
      </c>
      <c r="H83" s="402" t="s">
        <v>592</v>
      </c>
      <c r="I83" s="351"/>
      <c r="J83" s="354" t="s">
        <v>166</v>
      </c>
      <c r="K83" s="507" t="s">
        <v>166</v>
      </c>
      <c r="L83" s="351"/>
      <c r="M83" s="252" t="s">
        <v>253</v>
      </c>
      <c r="N83" s="353"/>
      <c r="O83" s="354" t="s">
        <v>61</v>
      </c>
    </row>
    <row r="84" ht="17.25" customHeight="1">
      <c r="B84" s="348" t="s">
        <v>677</v>
      </c>
      <c r="C84" s="513" t="s">
        <v>589</v>
      </c>
      <c r="D84" s="479" t="s">
        <v>106</v>
      </c>
      <c r="E84" s="487" t="str">
        <f>HYPERLINK("https://www.reddit.com/r/RMTK/comments/fcbr2f/w0074_wet_tot_invoeren_van_een_verplichte/","Wet tot invoeren van een verplichte bedwelming voorafgaand aan de slacht")</f>
        <v>Wet tot invoeren van een verplichte bedwelming voorafgaand aan de slacht</v>
      </c>
      <c r="F84" s="353"/>
      <c r="G84" s="252" t="s">
        <v>118</v>
      </c>
      <c r="H84" s="402" t="s">
        <v>118</v>
      </c>
      <c r="I84" s="351"/>
      <c r="J84" s="354" t="s">
        <v>166</v>
      </c>
      <c r="K84" s="507" t="s">
        <v>166</v>
      </c>
      <c r="L84" s="351"/>
      <c r="M84" s="252" t="s">
        <v>376</v>
      </c>
      <c r="N84" s="353"/>
      <c r="O84" s="354" t="s">
        <v>61</v>
      </c>
    </row>
    <row r="85" ht="7.5" customHeight="1">
      <c r="A85" s="370"/>
      <c r="B85" s="374"/>
      <c r="C85" s="371"/>
      <c r="D85" s="371"/>
      <c r="E85" s="514"/>
      <c r="F85" s="375"/>
      <c r="G85" s="374"/>
      <c r="H85" s="370"/>
      <c r="I85" s="370"/>
      <c r="J85" s="375"/>
      <c r="K85" s="375"/>
      <c r="L85" s="375"/>
      <c r="M85" s="375"/>
      <c r="N85" s="375"/>
      <c r="O85" s="375"/>
    </row>
    <row r="86" ht="17.25" customHeight="1">
      <c r="A86" s="347" t="s">
        <v>678</v>
      </c>
      <c r="B86" s="348" t="s">
        <v>679</v>
      </c>
      <c r="C86" s="515" t="s">
        <v>589</v>
      </c>
      <c r="D86" s="479" t="s">
        <v>37</v>
      </c>
      <c r="E86" s="516" t="s">
        <v>680</v>
      </c>
      <c r="F86" s="353"/>
      <c r="G86" s="252" t="s">
        <v>118</v>
      </c>
      <c r="H86" s="402" t="s">
        <v>118</v>
      </c>
      <c r="I86" s="351"/>
      <c r="J86" s="354" t="s">
        <v>166</v>
      </c>
      <c r="K86" s="507" t="s">
        <v>166</v>
      </c>
      <c r="L86" s="351"/>
      <c r="M86" s="252" t="s">
        <v>218</v>
      </c>
      <c r="N86" s="353"/>
      <c r="O86" s="433"/>
    </row>
    <row r="87" ht="17.25" customHeight="1">
      <c r="B87" s="348" t="s">
        <v>681</v>
      </c>
      <c r="C87" s="479" t="s">
        <v>589</v>
      </c>
      <c r="D87" s="479" t="s">
        <v>16</v>
      </c>
      <c r="E87" s="516" t="s">
        <v>682</v>
      </c>
      <c r="F87" s="353"/>
      <c r="G87" s="483" t="str">
        <f>HYPERLINK("https://www.reddit.com/r/RMTK/comments/fz9q6d/w0076i_amendement_op_w0076_tot_volledige/","A-1")</f>
        <v>A-1</v>
      </c>
      <c r="H87" s="402" t="s">
        <v>592</v>
      </c>
      <c r="I87" s="351"/>
      <c r="J87" s="354" t="s">
        <v>166</v>
      </c>
      <c r="K87" s="507" t="s">
        <v>166</v>
      </c>
      <c r="L87" s="351"/>
      <c r="M87" s="252" t="s">
        <v>218</v>
      </c>
      <c r="N87" s="353"/>
      <c r="O87" s="433"/>
    </row>
    <row r="88" ht="17.25" customHeight="1">
      <c r="B88" s="348" t="s">
        <v>683</v>
      </c>
      <c r="C88" s="515" t="s">
        <v>589</v>
      </c>
      <c r="D88" s="479" t="s">
        <v>106</v>
      </c>
      <c r="E88" s="516" t="s">
        <v>684</v>
      </c>
      <c r="F88" s="353"/>
      <c r="G88" s="252" t="s">
        <v>118</v>
      </c>
      <c r="H88" s="402" t="s">
        <v>118</v>
      </c>
      <c r="I88" s="351"/>
      <c r="J88" s="354" t="s">
        <v>166</v>
      </c>
      <c r="K88" s="507" t="s">
        <v>166</v>
      </c>
      <c r="L88" s="351"/>
      <c r="M88" s="252" t="s">
        <v>253</v>
      </c>
      <c r="N88" s="353"/>
      <c r="O88" s="433"/>
    </row>
    <row r="89" ht="17.25" customHeight="1">
      <c r="B89" s="348" t="s">
        <v>685</v>
      </c>
      <c r="C89" s="515" t="s">
        <v>589</v>
      </c>
      <c r="D89" s="479" t="s">
        <v>106</v>
      </c>
      <c r="E89" s="516" t="s">
        <v>686</v>
      </c>
      <c r="F89" s="353"/>
      <c r="G89" s="252" t="s">
        <v>118</v>
      </c>
      <c r="H89" s="402" t="s">
        <v>118</v>
      </c>
      <c r="I89" s="351"/>
      <c r="J89" s="354" t="s">
        <v>166</v>
      </c>
      <c r="K89" s="507" t="s">
        <v>166</v>
      </c>
      <c r="L89" s="351"/>
      <c r="M89" s="252" t="s">
        <v>253</v>
      </c>
      <c r="N89" s="353"/>
      <c r="O89" s="433"/>
    </row>
    <row r="90" ht="17.25" customHeight="1">
      <c r="B90" s="348" t="s">
        <v>687</v>
      </c>
      <c r="C90" s="413" t="s">
        <v>36</v>
      </c>
      <c r="D90" s="413" t="s">
        <v>201</v>
      </c>
      <c r="E90" s="517" t="s">
        <v>688</v>
      </c>
      <c r="F90" s="353"/>
      <c r="G90" s="252" t="s">
        <v>118</v>
      </c>
      <c r="H90" s="402" t="s">
        <v>118</v>
      </c>
      <c r="I90" s="351"/>
      <c r="J90" s="354" t="s">
        <v>166</v>
      </c>
      <c r="K90" s="507" t="s">
        <v>170</v>
      </c>
      <c r="L90" s="351"/>
      <c r="M90" s="252" t="s">
        <v>253</v>
      </c>
      <c r="N90" s="353"/>
      <c r="O90" s="433"/>
    </row>
    <row r="91" ht="17.25" customHeight="1">
      <c r="B91" s="348" t="s">
        <v>689</v>
      </c>
      <c r="C91" s="413" t="s">
        <v>36</v>
      </c>
      <c r="D91" s="413" t="s">
        <v>252</v>
      </c>
      <c r="E91" s="516" t="s">
        <v>690</v>
      </c>
      <c r="F91" s="353"/>
      <c r="G91" s="252" t="s">
        <v>118</v>
      </c>
      <c r="H91" s="402" t="s">
        <v>118</v>
      </c>
      <c r="I91" s="351"/>
      <c r="J91" s="354" t="s">
        <v>170</v>
      </c>
      <c r="K91" s="507" t="s">
        <v>118</v>
      </c>
      <c r="L91" s="351"/>
      <c r="M91" s="252" t="s">
        <v>218</v>
      </c>
      <c r="N91" s="353"/>
      <c r="O91" s="433"/>
    </row>
    <row r="92" ht="17.25" customHeight="1">
      <c r="B92" s="348" t="s">
        <v>691</v>
      </c>
      <c r="C92" s="403" t="s">
        <v>24</v>
      </c>
      <c r="D92" s="503" t="s">
        <v>25</v>
      </c>
      <c r="E92" s="516" t="s">
        <v>692</v>
      </c>
      <c r="F92" s="353"/>
      <c r="G92" s="483" t="str">
        <f>HYPERLINK("https://www.reddit.com/r/RMTK/comments/g4o0o2/w0081i_amendement_tot_wijziging_van_de_wet_op/","A-1")</f>
        <v>A-1</v>
      </c>
      <c r="H92" s="402" t="s">
        <v>592</v>
      </c>
      <c r="I92" s="351"/>
      <c r="J92" s="354" t="s">
        <v>166</v>
      </c>
      <c r="K92" s="354" t="s">
        <v>166</v>
      </c>
      <c r="L92" s="351"/>
      <c r="M92" s="252" t="s">
        <v>216</v>
      </c>
      <c r="N92" s="353"/>
      <c r="O92" s="433"/>
    </row>
    <row r="93" ht="17.25" customHeight="1">
      <c r="B93" s="348" t="s">
        <v>693</v>
      </c>
      <c r="C93" s="479" t="s">
        <v>589</v>
      </c>
      <c r="D93" s="479" t="s">
        <v>16</v>
      </c>
      <c r="E93" s="518" t="str">
        <f>HYPERLINK("https://www.reddit.com/r/RMTK/comments/g10sdl/w0082_wet_btwverhoging_vleesproducten_en/","Wet BTW-verhoging vleesproducten en samenvoeging van de wet op de omzetbelasting 1968 en de wet btw-verlaging op ecologisch-verantwoorde goederen")</f>
        <v>Wet BTW-verhoging vleesproducten en samenvoeging van de wet op de omzetbelasting 1968 en de wet btw-verlaging op ecologisch-verantwoorde goederen</v>
      </c>
      <c r="F93" s="353"/>
      <c r="G93" s="252" t="s">
        <v>118</v>
      </c>
      <c r="H93" s="402" t="s">
        <v>118</v>
      </c>
      <c r="I93" s="351"/>
      <c r="J93" s="354" t="s">
        <v>170</v>
      </c>
      <c r="K93" s="507" t="s">
        <v>118</v>
      </c>
      <c r="L93" s="351"/>
      <c r="M93" s="252" t="s">
        <v>218</v>
      </c>
      <c r="N93" s="353"/>
      <c r="O93" s="433"/>
    </row>
    <row r="94" ht="17.25" customHeight="1">
      <c r="B94" s="348" t="s">
        <v>694</v>
      </c>
      <c r="C94" s="515" t="s">
        <v>589</v>
      </c>
      <c r="D94" s="479" t="s">
        <v>106</v>
      </c>
      <c r="E94" s="516" t="s">
        <v>695</v>
      </c>
      <c r="F94" s="353"/>
      <c r="G94" s="252" t="s">
        <v>118</v>
      </c>
      <c r="H94" s="402" t="s">
        <v>118</v>
      </c>
      <c r="I94" s="351"/>
      <c r="J94" s="354" t="s">
        <v>166</v>
      </c>
      <c r="K94" s="354" t="s">
        <v>166</v>
      </c>
      <c r="L94" s="351"/>
      <c r="M94" s="252" t="s">
        <v>358</v>
      </c>
      <c r="N94" s="353"/>
      <c r="O94" s="433"/>
    </row>
    <row r="95" ht="17.25" customHeight="1">
      <c r="B95" s="348" t="s">
        <v>696</v>
      </c>
      <c r="C95" s="403" t="s">
        <v>24</v>
      </c>
      <c r="D95" s="503" t="s">
        <v>25</v>
      </c>
      <c r="E95" s="516" t="s">
        <v>697</v>
      </c>
      <c r="F95" s="353"/>
      <c r="G95" s="483" t="str">
        <f>HYPERLINK("https://www.reddit.com/r/RMTK/comments/g4ud01/w0084i_amendement_tot_wijziging_van_de_vlootwet/","A-1")</f>
        <v>A-1</v>
      </c>
      <c r="H95" s="402" t="s">
        <v>595</v>
      </c>
      <c r="I95" s="351"/>
      <c r="J95" s="354" t="s">
        <v>170</v>
      </c>
      <c r="K95" s="507" t="s">
        <v>118</v>
      </c>
      <c r="L95" s="351"/>
      <c r="M95" s="252" t="s">
        <v>385</v>
      </c>
      <c r="N95" s="353"/>
      <c r="O95" s="433"/>
    </row>
    <row r="96" ht="17.25" customHeight="1">
      <c r="B96" s="348" t="s">
        <v>698</v>
      </c>
      <c r="C96" s="515" t="s">
        <v>589</v>
      </c>
      <c r="D96" s="479" t="s">
        <v>16</v>
      </c>
      <c r="E96" s="518" t="str">
        <f>HYPERLINK("https://www.reddit.com/r/RMTK/comments/g3jxay/w0085_wetswijziging_van_de_wet_op_de_kansspelen/","Wetswijziging van de Wet op de Kansspelen teneinde het invoeren van de verplichting om de consument te waarschuwen tijdens het aanbieden van kansspelen ")</f>
        <v>Wetswijziging van de Wet op de Kansspelen teneinde het invoeren van de verplichting om de consument te waarschuwen tijdens het aanbieden van kansspelen </v>
      </c>
      <c r="F96" s="353"/>
      <c r="G96" s="252" t="s">
        <v>118</v>
      </c>
      <c r="H96" s="402" t="s">
        <v>118</v>
      </c>
      <c r="I96" s="351"/>
      <c r="J96" s="354" t="s">
        <v>166</v>
      </c>
      <c r="K96" s="354" t="s">
        <v>166</v>
      </c>
      <c r="L96" s="351"/>
      <c r="M96" s="252" t="s">
        <v>218</v>
      </c>
      <c r="N96" s="353"/>
      <c r="O96" s="433"/>
    </row>
    <row r="97" ht="17.25" customHeight="1">
      <c r="B97" s="348" t="s">
        <v>699</v>
      </c>
      <c r="C97" s="515" t="s">
        <v>589</v>
      </c>
      <c r="D97" s="479" t="s">
        <v>182</v>
      </c>
      <c r="E97" s="516" t="s">
        <v>700</v>
      </c>
      <c r="F97" s="353"/>
      <c r="G97" s="252" t="s">
        <v>118</v>
      </c>
      <c r="H97" s="402" t="s">
        <v>118</v>
      </c>
      <c r="I97" s="351"/>
      <c r="J97" s="354" t="s">
        <v>166</v>
      </c>
      <c r="K97" s="354" t="s">
        <v>166</v>
      </c>
      <c r="L97" s="351"/>
      <c r="M97" s="252" t="s">
        <v>218</v>
      </c>
      <c r="N97" s="353"/>
      <c r="O97" s="433"/>
    </row>
    <row r="98" ht="17.25" customHeight="1">
      <c r="B98" s="348" t="s">
        <v>701</v>
      </c>
      <c r="C98" s="515" t="s">
        <v>589</v>
      </c>
      <c r="D98" s="479" t="s">
        <v>16</v>
      </c>
      <c r="E98" s="519" t="str">
        <f>HYPERLINK("https://www.reddit.com/r/RMTK/comments/g60qgw/w0087_wetswijziging_van_de_algemene_ouderdomswet/","Wetswijziging van de algemene ouderdomswet teneinde het geleidelijk verhogen van de pensioengerechtigde leeftijd en het leggen van grondslag voor een zware beroepenlijst ")</f>
        <v>Wetswijziging van de algemene ouderdomswet teneinde het geleidelijk verhogen van de pensioengerechtigde leeftijd en het leggen van grondslag voor een zware beroepenlijst </v>
      </c>
      <c r="F98" s="353"/>
      <c r="G98" s="252" t="s">
        <v>118</v>
      </c>
      <c r="H98" s="402" t="s">
        <v>118</v>
      </c>
      <c r="I98" s="351"/>
      <c r="J98" s="354" t="s">
        <v>166</v>
      </c>
      <c r="K98" s="354" t="s">
        <v>166</v>
      </c>
      <c r="L98" s="351"/>
      <c r="M98" s="252" t="s">
        <v>253</v>
      </c>
      <c r="N98" s="353"/>
      <c r="O98" s="433"/>
    </row>
    <row r="99" ht="17.25" customHeight="1">
      <c r="B99" s="348" t="s">
        <v>702</v>
      </c>
      <c r="C99" s="515" t="s">
        <v>589</v>
      </c>
      <c r="D99" s="479" t="s">
        <v>176</v>
      </c>
      <c r="E99" s="516" t="s">
        <v>703</v>
      </c>
      <c r="F99" s="353"/>
      <c r="G99" s="483" t="str">
        <f>HYPERLINK("https://www.reddit.com/r/RMTK/comments/gc4mq7/w088i_amendement_tot_wijziging_van_de/","A-1")</f>
        <v>A-1</v>
      </c>
      <c r="H99" s="520" t="s">
        <v>592</v>
      </c>
      <c r="I99" s="351"/>
      <c r="J99" s="354" t="s">
        <v>166</v>
      </c>
      <c r="K99" s="507" t="s">
        <v>166</v>
      </c>
      <c r="L99" s="351"/>
      <c r="M99" s="252" t="s">
        <v>216</v>
      </c>
      <c r="N99" s="353"/>
      <c r="O99" s="433"/>
    </row>
    <row r="100" ht="17.25" customHeight="1">
      <c r="B100" s="348" t="s">
        <v>704</v>
      </c>
      <c r="C100" s="413" t="s">
        <v>36</v>
      </c>
      <c r="D100" s="413" t="s">
        <v>308</v>
      </c>
      <c r="E100" s="516" t="s">
        <v>705</v>
      </c>
      <c r="F100" s="353"/>
      <c r="G100" s="521" t="s">
        <v>118</v>
      </c>
      <c r="H100" s="520" t="s">
        <v>118</v>
      </c>
      <c r="I100" s="351"/>
      <c r="J100" s="354" t="s">
        <v>166</v>
      </c>
      <c r="K100" s="507" t="s">
        <v>166</v>
      </c>
      <c r="L100" s="351"/>
      <c r="M100" s="252" t="s">
        <v>218</v>
      </c>
      <c r="N100" s="353"/>
      <c r="O100" s="433"/>
    </row>
    <row r="101" ht="17.25" customHeight="1">
      <c r="B101" s="348" t="s">
        <v>706</v>
      </c>
      <c r="C101" s="515" t="s">
        <v>589</v>
      </c>
      <c r="D101" s="479" t="s">
        <v>106</v>
      </c>
      <c r="E101" s="516" t="s">
        <v>707</v>
      </c>
      <c r="F101" s="353"/>
      <c r="G101" s="252" t="s">
        <v>118</v>
      </c>
      <c r="H101" s="402" t="s">
        <v>118</v>
      </c>
      <c r="I101" s="351"/>
      <c r="J101" s="354" t="s">
        <v>166</v>
      </c>
      <c r="K101" s="507" t="s">
        <v>166</v>
      </c>
      <c r="L101" s="351"/>
      <c r="M101" s="252" t="s">
        <v>358</v>
      </c>
      <c r="N101" s="353"/>
      <c r="O101" s="433"/>
    </row>
    <row r="102" ht="17.25" customHeight="1">
      <c r="B102" s="348" t="s">
        <v>708</v>
      </c>
      <c r="C102" s="515" t="s">
        <v>589</v>
      </c>
      <c r="D102" s="479" t="s">
        <v>106</v>
      </c>
      <c r="E102" s="516" t="s">
        <v>709</v>
      </c>
      <c r="F102" s="353"/>
      <c r="G102" s="252" t="s">
        <v>118</v>
      </c>
      <c r="H102" s="402" t="s">
        <v>118</v>
      </c>
      <c r="I102" s="351"/>
      <c r="J102" s="354" t="s">
        <v>166</v>
      </c>
      <c r="K102" s="354" t="s">
        <v>166</v>
      </c>
      <c r="L102" s="351"/>
      <c r="M102" s="252" t="s">
        <v>218</v>
      </c>
      <c r="N102" s="353"/>
      <c r="O102" s="433"/>
    </row>
    <row r="103" ht="17.25" customHeight="1">
      <c r="B103" s="348" t="s">
        <v>710</v>
      </c>
      <c r="C103" s="413" t="s">
        <v>36</v>
      </c>
      <c r="D103" s="413" t="s">
        <v>711</v>
      </c>
      <c r="E103" s="522" t="s">
        <v>712</v>
      </c>
      <c r="F103" s="353"/>
      <c r="G103" s="252" t="s">
        <v>118</v>
      </c>
      <c r="H103" s="252" t="s">
        <v>118</v>
      </c>
      <c r="I103" s="351"/>
      <c r="J103" s="354" t="s">
        <v>170</v>
      </c>
      <c r="K103" s="507" t="s">
        <v>118</v>
      </c>
      <c r="L103" s="351"/>
      <c r="M103" s="252" t="s">
        <v>358</v>
      </c>
      <c r="N103" s="353"/>
      <c r="O103" s="433"/>
    </row>
    <row r="104" ht="17.25" customHeight="1">
      <c r="B104" s="348" t="s">
        <v>713</v>
      </c>
      <c r="C104" s="413" t="s">
        <v>36</v>
      </c>
      <c r="D104" s="413" t="s">
        <v>101</v>
      </c>
      <c r="E104" s="523" t="s">
        <v>714</v>
      </c>
      <c r="F104" s="353"/>
      <c r="G104" s="252" t="s">
        <v>118</v>
      </c>
      <c r="H104" s="252" t="s">
        <v>118</v>
      </c>
      <c r="I104" s="351"/>
      <c r="J104" s="354" t="s">
        <v>170</v>
      </c>
      <c r="K104" s="507" t="s">
        <v>118</v>
      </c>
      <c r="L104" s="351"/>
      <c r="M104" s="252" t="s">
        <v>216</v>
      </c>
      <c r="N104" s="353"/>
      <c r="O104" s="433"/>
    </row>
    <row r="105" ht="17.25" customHeight="1">
      <c r="B105" s="348" t="s">
        <v>715</v>
      </c>
      <c r="C105" s="413" t="s">
        <v>36</v>
      </c>
      <c r="D105" s="413" t="s">
        <v>101</v>
      </c>
      <c r="E105" s="488" t="s">
        <v>716</v>
      </c>
      <c r="F105" s="353"/>
      <c r="G105" s="252" t="s">
        <v>118</v>
      </c>
      <c r="H105" s="252" t="s">
        <v>118</v>
      </c>
      <c r="I105" s="351"/>
      <c r="J105" s="354" t="s">
        <v>170</v>
      </c>
      <c r="K105" s="252" t="s">
        <v>118</v>
      </c>
      <c r="L105" s="351"/>
      <c r="M105" s="252" t="s">
        <v>358</v>
      </c>
      <c r="N105" s="353"/>
      <c r="O105" s="433"/>
    </row>
    <row r="106" ht="17.25" customHeight="1">
      <c r="B106" s="348" t="s">
        <v>717</v>
      </c>
      <c r="C106" s="515" t="s">
        <v>589</v>
      </c>
      <c r="D106" s="479" t="s">
        <v>106</v>
      </c>
      <c r="E106" s="516" t="s">
        <v>718</v>
      </c>
      <c r="F106" s="353"/>
      <c r="G106" s="252" t="s">
        <v>118</v>
      </c>
      <c r="H106" s="252" t="s">
        <v>118</v>
      </c>
      <c r="I106" s="351"/>
      <c r="J106" s="354" t="s">
        <v>166</v>
      </c>
      <c r="K106" s="354" t="s">
        <v>166</v>
      </c>
      <c r="L106" s="351"/>
      <c r="M106" s="252" t="s">
        <v>358</v>
      </c>
      <c r="N106" s="353"/>
      <c r="O106" s="433"/>
    </row>
    <row r="107" ht="17.25" customHeight="1">
      <c r="B107" s="348" t="s">
        <v>719</v>
      </c>
      <c r="C107" s="413" t="s">
        <v>36</v>
      </c>
      <c r="D107" s="413" t="s">
        <v>101</v>
      </c>
      <c r="E107" s="516" t="s">
        <v>720</v>
      </c>
      <c r="F107" s="353"/>
      <c r="G107" s="252" t="s">
        <v>118</v>
      </c>
      <c r="H107" s="252" t="s">
        <v>118</v>
      </c>
      <c r="I107" s="351"/>
      <c r="J107" s="354" t="s">
        <v>166</v>
      </c>
      <c r="K107" s="354" t="s">
        <v>166</v>
      </c>
      <c r="L107" s="351"/>
      <c r="M107" s="444" t="s">
        <v>358</v>
      </c>
      <c r="N107" s="353"/>
      <c r="O107" s="433"/>
    </row>
    <row r="108" ht="17.25" customHeight="1">
      <c r="B108" s="348" t="s">
        <v>721</v>
      </c>
      <c r="C108" s="515" t="s">
        <v>589</v>
      </c>
      <c r="D108" s="479" t="s">
        <v>106</v>
      </c>
      <c r="E108" s="516" t="s">
        <v>722</v>
      </c>
      <c r="F108" s="353"/>
      <c r="G108" s="415" t="s">
        <v>723</v>
      </c>
      <c r="H108" s="252" t="s">
        <v>724</v>
      </c>
      <c r="I108" s="351"/>
      <c r="J108" s="354" t="s">
        <v>166</v>
      </c>
      <c r="K108" s="507" t="s">
        <v>170</v>
      </c>
      <c r="L108" s="351"/>
      <c r="M108" s="252" t="s">
        <v>358</v>
      </c>
      <c r="N108" s="353"/>
      <c r="O108" s="433"/>
    </row>
    <row r="109" ht="17.25" customHeight="1">
      <c r="B109" s="348" t="s">
        <v>725</v>
      </c>
      <c r="C109" s="515" t="s">
        <v>589</v>
      </c>
      <c r="D109" s="479" t="s">
        <v>176</v>
      </c>
      <c r="E109" s="516" t="s">
        <v>726</v>
      </c>
      <c r="F109" s="353"/>
      <c r="G109" s="252" t="s">
        <v>118</v>
      </c>
      <c r="H109" s="252" t="s">
        <v>118</v>
      </c>
      <c r="I109" s="351"/>
      <c r="J109" s="354" t="s">
        <v>166</v>
      </c>
      <c r="K109" s="354" t="s">
        <v>166</v>
      </c>
      <c r="L109" s="351"/>
      <c r="M109" s="252" t="s">
        <v>216</v>
      </c>
      <c r="N109" s="353"/>
      <c r="O109" s="433"/>
    </row>
    <row r="110" ht="17.25" customHeight="1">
      <c r="B110" s="348" t="s">
        <v>727</v>
      </c>
      <c r="C110" s="515" t="s">
        <v>589</v>
      </c>
      <c r="D110" s="479" t="s">
        <v>176</v>
      </c>
      <c r="E110" s="516" t="s">
        <v>728</v>
      </c>
      <c r="F110" s="353"/>
      <c r="G110" s="252" t="s">
        <v>118</v>
      </c>
      <c r="H110" s="252" t="s">
        <v>118</v>
      </c>
      <c r="I110" s="351"/>
      <c r="J110" s="354" t="s">
        <v>166</v>
      </c>
      <c r="K110" s="354" t="s">
        <v>166</v>
      </c>
      <c r="L110" s="351"/>
      <c r="M110" s="252" t="s">
        <v>216</v>
      </c>
      <c r="N110" s="353"/>
      <c r="O110" s="433"/>
    </row>
    <row r="111" ht="17.25" customHeight="1">
      <c r="B111" s="348" t="s">
        <v>729</v>
      </c>
      <c r="C111" s="479" t="s">
        <v>589</v>
      </c>
      <c r="D111" s="479" t="s">
        <v>182</v>
      </c>
      <c r="E111" s="524" t="s">
        <v>730</v>
      </c>
      <c r="F111" s="353"/>
      <c r="G111" s="252" t="s">
        <v>118</v>
      </c>
      <c r="H111" s="252" t="s">
        <v>118</v>
      </c>
      <c r="I111" s="351"/>
      <c r="J111" s="354" t="s">
        <v>166</v>
      </c>
      <c r="K111" s="354" t="s">
        <v>166</v>
      </c>
      <c r="L111" s="351"/>
      <c r="M111" s="252" t="s">
        <v>173</v>
      </c>
      <c r="N111" s="353"/>
      <c r="O111" s="433"/>
    </row>
    <row r="112" ht="17.25" customHeight="1">
      <c r="B112" s="348" t="s">
        <v>731</v>
      </c>
      <c r="C112" s="364" t="s">
        <v>31</v>
      </c>
      <c r="D112" s="364" t="s">
        <v>32</v>
      </c>
      <c r="E112" s="516" t="s">
        <v>732</v>
      </c>
      <c r="F112" s="353"/>
      <c r="G112" s="252" t="s">
        <v>118</v>
      </c>
      <c r="H112" s="252" t="s">
        <v>118</v>
      </c>
      <c r="I112" s="351"/>
      <c r="J112" s="354" t="s">
        <v>170</v>
      </c>
      <c r="K112" s="252" t="s">
        <v>118</v>
      </c>
      <c r="L112" s="351"/>
      <c r="M112" s="252" t="s">
        <v>218</v>
      </c>
      <c r="N112" s="353"/>
      <c r="O112" s="433"/>
    </row>
    <row r="113" ht="17.25" customHeight="1">
      <c r="B113" s="348" t="s">
        <v>733</v>
      </c>
      <c r="C113" s="438" t="s">
        <v>47</v>
      </c>
      <c r="D113" s="438" t="s">
        <v>308</v>
      </c>
      <c r="E113" s="516" t="s">
        <v>734</v>
      </c>
      <c r="F113" s="353"/>
      <c r="G113" s="252" t="s">
        <v>118</v>
      </c>
      <c r="H113" s="252" t="s">
        <v>118</v>
      </c>
      <c r="I113" s="351"/>
      <c r="J113" s="354" t="s">
        <v>166</v>
      </c>
      <c r="K113" s="354" t="s">
        <v>166</v>
      </c>
      <c r="L113" s="351"/>
      <c r="M113" s="252" t="s">
        <v>218</v>
      </c>
      <c r="N113" s="353"/>
      <c r="O113" s="433"/>
    </row>
    <row r="114" ht="17.25" customHeight="1">
      <c r="B114" s="348" t="s">
        <v>735</v>
      </c>
      <c r="C114" s="515" t="s">
        <v>589</v>
      </c>
      <c r="D114" s="479" t="s">
        <v>16</v>
      </c>
      <c r="E114" s="516" t="s">
        <v>736</v>
      </c>
      <c r="F114" s="353"/>
      <c r="G114" s="415" t="s">
        <v>723</v>
      </c>
      <c r="H114" s="497" t="s">
        <v>724</v>
      </c>
      <c r="I114" s="351"/>
      <c r="J114" s="252" t="s">
        <v>166</v>
      </c>
      <c r="K114" s="252" t="s">
        <v>166</v>
      </c>
      <c r="L114" s="351"/>
      <c r="M114" s="252" t="s">
        <v>173</v>
      </c>
      <c r="N114" s="353"/>
      <c r="O114" s="433"/>
    </row>
    <row r="115" ht="17.25" customHeight="1">
      <c r="B115" s="348" t="s">
        <v>737</v>
      </c>
      <c r="C115" s="515" t="s">
        <v>589</v>
      </c>
      <c r="D115" s="479" t="s">
        <v>16</v>
      </c>
      <c r="E115" s="525" t="s">
        <v>738</v>
      </c>
      <c r="F115" s="353"/>
      <c r="G115" s="252" t="s">
        <v>118</v>
      </c>
      <c r="H115" s="252" t="s">
        <v>118</v>
      </c>
      <c r="I115" s="351"/>
      <c r="J115" s="354" t="s">
        <v>118</v>
      </c>
      <c r="K115" s="252" t="s">
        <v>118</v>
      </c>
      <c r="L115" s="351"/>
      <c r="M115" s="252" t="s">
        <v>173</v>
      </c>
      <c r="N115" s="353"/>
      <c r="O115" s="427" t="s">
        <v>739</v>
      </c>
    </row>
    <row r="116" ht="17.25" customHeight="1">
      <c r="B116" s="348" t="s">
        <v>740</v>
      </c>
      <c r="C116" s="413" t="s">
        <v>36</v>
      </c>
      <c r="D116" s="413" t="s">
        <v>101</v>
      </c>
      <c r="E116" s="516" t="s">
        <v>741</v>
      </c>
      <c r="F116" s="353"/>
      <c r="G116" s="252" t="s">
        <v>118</v>
      </c>
      <c r="H116" s="252" t="s">
        <v>118</v>
      </c>
      <c r="I116" s="351"/>
      <c r="J116" s="354" t="s">
        <v>170</v>
      </c>
      <c r="K116" s="252" t="s">
        <v>118</v>
      </c>
      <c r="L116" s="351"/>
      <c r="M116" s="252" t="s">
        <v>253</v>
      </c>
      <c r="N116" s="367"/>
      <c r="O116" s="526"/>
    </row>
    <row r="117" ht="17.25" customHeight="1">
      <c r="B117" s="348" t="s">
        <v>742</v>
      </c>
      <c r="C117" s="413" t="s">
        <v>36</v>
      </c>
      <c r="D117" s="413" t="s">
        <v>101</v>
      </c>
      <c r="E117" s="442" t="s">
        <v>743</v>
      </c>
      <c r="F117" s="353"/>
      <c r="G117" s="252" t="s">
        <v>118</v>
      </c>
      <c r="H117" s="252" t="s">
        <v>118</v>
      </c>
      <c r="I117" s="351"/>
      <c r="J117" s="354" t="s">
        <v>166</v>
      </c>
      <c r="K117" s="252" t="s">
        <v>166</v>
      </c>
      <c r="L117" s="351"/>
      <c r="M117" s="252" t="s">
        <v>216</v>
      </c>
      <c r="N117" s="353"/>
      <c r="O117" s="433"/>
    </row>
    <row r="118" ht="17.25" customHeight="1">
      <c r="B118" s="348" t="s">
        <v>744</v>
      </c>
      <c r="C118" s="413" t="s">
        <v>36</v>
      </c>
      <c r="D118" s="413" t="s">
        <v>101</v>
      </c>
      <c r="E118" s="442" t="s">
        <v>745</v>
      </c>
      <c r="F118" s="353"/>
      <c r="G118" s="252" t="s">
        <v>118</v>
      </c>
      <c r="H118" s="252" t="s">
        <v>118</v>
      </c>
      <c r="I118" s="351"/>
      <c r="J118" s="354" t="s">
        <v>170</v>
      </c>
      <c r="K118" s="252" t="s">
        <v>118</v>
      </c>
      <c r="L118" s="351"/>
      <c r="M118" s="252" t="s">
        <v>358</v>
      </c>
      <c r="N118" s="353"/>
      <c r="O118" s="433"/>
    </row>
    <row r="119" ht="17.25" customHeight="1">
      <c r="B119" s="348" t="s">
        <v>746</v>
      </c>
      <c r="C119" s="413" t="s">
        <v>36</v>
      </c>
      <c r="D119" s="413" t="s">
        <v>101</v>
      </c>
      <c r="E119" s="443" t="s">
        <v>747</v>
      </c>
      <c r="F119" s="353"/>
      <c r="G119" s="412" t="str">
        <f>HYPERLINK("https://www.reddit.com/r/RMTK/comments/himh1r/w0108i_amendement_tot_wijziging_w0108_wet/","A-1")</f>
        <v>A-1</v>
      </c>
      <c r="H119" s="252" t="s">
        <v>592</v>
      </c>
      <c r="I119" s="351"/>
      <c r="J119" s="354" t="s">
        <v>166</v>
      </c>
      <c r="K119" s="252" t="s">
        <v>166</v>
      </c>
      <c r="L119" s="351"/>
      <c r="M119" s="252" t="s">
        <v>358</v>
      </c>
      <c r="N119" s="353"/>
      <c r="O119" s="433"/>
    </row>
    <row r="120" ht="17.25" customHeight="1">
      <c r="B120" s="348" t="s">
        <v>748</v>
      </c>
      <c r="C120" s="503" t="s">
        <v>24</v>
      </c>
      <c r="D120" s="503" t="s">
        <v>244</v>
      </c>
      <c r="E120" s="488" t="s">
        <v>749</v>
      </c>
      <c r="F120" s="353"/>
      <c r="G120" s="252" t="s">
        <v>118</v>
      </c>
      <c r="H120" s="252" t="s">
        <v>118</v>
      </c>
      <c r="I120" s="351"/>
      <c r="J120" s="354" t="s">
        <v>166</v>
      </c>
      <c r="K120" s="252" t="s">
        <v>166</v>
      </c>
      <c r="L120" s="351"/>
      <c r="M120" s="252" t="s">
        <v>358</v>
      </c>
      <c r="N120" s="353"/>
      <c r="O120" s="433"/>
    </row>
    <row r="121" ht="17.25" customHeight="1">
      <c r="B121" s="348" t="s">
        <v>750</v>
      </c>
      <c r="C121" s="515" t="s">
        <v>589</v>
      </c>
      <c r="D121" s="515" t="s">
        <v>109</v>
      </c>
      <c r="E121" s="442" t="s">
        <v>751</v>
      </c>
      <c r="F121" s="353"/>
      <c r="G121" s="252" t="s">
        <v>118</v>
      </c>
      <c r="H121" s="252" t="s">
        <v>118</v>
      </c>
      <c r="I121" s="351"/>
      <c r="J121" s="354" t="s">
        <v>166</v>
      </c>
      <c r="K121" s="252" t="s">
        <v>166</v>
      </c>
      <c r="L121" s="351"/>
      <c r="M121" s="252" t="s">
        <v>363</v>
      </c>
      <c r="N121" s="353"/>
      <c r="O121" s="433"/>
    </row>
    <row r="122" ht="17.25" customHeight="1">
      <c r="B122" s="348" t="s">
        <v>752</v>
      </c>
      <c r="C122" s="413" t="s">
        <v>36</v>
      </c>
      <c r="D122" s="413" t="s">
        <v>101</v>
      </c>
      <c r="E122" s="442" t="s">
        <v>753</v>
      </c>
      <c r="F122" s="353"/>
      <c r="G122" s="252" t="s">
        <v>118</v>
      </c>
      <c r="H122" s="252" t="s">
        <v>118</v>
      </c>
      <c r="I122" s="351"/>
      <c r="J122" s="354" t="s">
        <v>170</v>
      </c>
      <c r="K122" s="252" t="s">
        <v>118</v>
      </c>
      <c r="L122" s="351"/>
      <c r="M122" s="252" t="s">
        <v>358</v>
      </c>
      <c r="N122" s="353"/>
      <c r="O122" s="433"/>
    </row>
    <row r="123" ht="17.25" customHeight="1">
      <c r="B123" s="348" t="s">
        <v>754</v>
      </c>
      <c r="C123" s="503" t="s">
        <v>24</v>
      </c>
      <c r="D123" s="503" t="s">
        <v>244</v>
      </c>
      <c r="E123" s="442" t="s">
        <v>755</v>
      </c>
      <c r="F123" s="353"/>
      <c r="G123" s="252" t="s">
        <v>118</v>
      </c>
      <c r="H123" s="252" t="s">
        <v>118</v>
      </c>
      <c r="I123" s="351"/>
      <c r="J123" s="354" t="s">
        <v>166</v>
      </c>
      <c r="K123" s="252" t="s">
        <v>166</v>
      </c>
      <c r="L123" s="351"/>
      <c r="M123" s="252" t="s">
        <v>358</v>
      </c>
      <c r="N123" s="353"/>
      <c r="O123" s="433"/>
    </row>
    <row r="124" ht="17.25" customHeight="1">
      <c r="B124" s="348" t="s">
        <v>756</v>
      </c>
      <c r="C124" s="479" t="s">
        <v>589</v>
      </c>
      <c r="D124" s="479" t="s">
        <v>182</v>
      </c>
      <c r="E124" s="442" t="s">
        <v>757</v>
      </c>
      <c r="F124" s="353"/>
      <c r="G124" s="415" t="s">
        <v>723</v>
      </c>
      <c r="H124" s="252" t="s">
        <v>592</v>
      </c>
      <c r="I124" s="351"/>
      <c r="J124" s="354" t="s">
        <v>166</v>
      </c>
      <c r="K124" s="252" t="s">
        <v>166</v>
      </c>
      <c r="L124" s="351"/>
      <c r="M124" s="252" t="s">
        <v>218</v>
      </c>
      <c r="N124" s="353"/>
      <c r="O124" s="433"/>
    </row>
    <row r="125" ht="17.25" customHeight="1">
      <c r="B125" s="348" t="s">
        <v>758</v>
      </c>
      <c r="C125" s="503" t="s">
        <v>24</v>
      </c>
      <c r="D125" s="503" t="s">
        <v>106</v>
      </c>
      <c r="E125" s="442" t="s">
        <v>759</v>
      </c>
      <c r="F125" s="353"/>
      <c r="G125" s="252" t="s">
        <v>118</v>
      </c>
      <c r="H125" s="252" t="s">
        <v>118</v>
      </c>
      <c r="I125" s="351"/>
      <c r="J125" s="354" t="s">
        <v>166</v>
      </c>
      <c r="K125" s="252" t="s">
        <v>166</v>
      </c>
      <c r="L125" s="351"/>
      <c r="M125" s="252" t="s">
        <v>385</v>
      </c>
      <c r="N125" s="353"/>
      <c r="O125" s="433"/>
    </row>
    <row r="126" ht="17.25" customHeight="1">
      <c r="B126" s="348" t="s">
        <v>760</v>
      </c>
      <c r="C126" s="414" t="s">
        <v>115</v>
      </c>
      <c r="D126" s="527" t="s">
        <v>116</v>
      </c>
      <c r="E126" s="442" t="s">
        <v>761</v>
      </c>
      <c r="F126" s="353"/>
      <c r="G126" s="252" t="s">
        <v>118</v>
      </c>
      <c r="H126" s="252" t="s">
        <v>118</v>
      </c>
      <c r="I126" s="351"/>
      <c r="J126" s="354" t="s">
        <v>166</v>
      </c>
      <c r="K126" s="252" t="s">
        <v>166</v>
      </c>
      <c r="L126" s="351"/>
      <c r="M126" s="252" t="s">
        <v>216</v>
      </c>
      <c r="N126" s="353"/>
      <c r="O126" s="433"/>
    </row>
    <row r="127" ht="17.25" customHeight="1">
      <c r="B127" s="348" t="s">
        <v>762</v>
      </c>
      <c r="C127" s="515" t="s">
        <v>589</v>
      </c>
      <c r="D127" s="479" t="s">
        <v>16</v>
      </c>
      <c r="E127" s="442" t="s">
        <v>763</v>
      </c>
      <c r="F127" s="353"/>
      <c r="G127" s="252" t="s">
        <v>118</v>
      </c>
      <c r="H127" s="252" t="s">
        <v>118</v>
      </c>
      <c r="I127" s="351"/>
      <c r="J127" s="354" t="s">
        <v>166</v>
      </c>
      <c r="K127" s="354" t="s">
        <v>170</v>
      </c>
      <c r="L127" s="351"/>
      <c r="M127" s="252" t="s">
        <v>385</v>
      </c>
      <c r="N127" s="353"/>
      <c r="O127" s="433"/>
    </row>
    <row r="128" ht="17.25" customHeight="1">
      <c r="B128" s="348" t="s">
        <v>764</v>
      </c>
      <c r="C128" s="364" t="s">
        <v>31</v>
      </c>
      <c r="D128" s="364" t="s">
        <v>32</v>
      </c>
      <c r="E128" s="442" t="s">
        <v>765</v>
      </c>
      <c r="F128" s="353"/>
      <c r="G128" s="415" t="s">
        <v>723</v>
      </c>
      <c r="H128" s="252" t="s">
        <v>592</v>
      </c>
      <c r="I128" s="351"/>
      <c r="J128" s="354" t="s">
        <v>170</v>
      </c>
      <c r="K128" s="252" t="s">
        <v>118</v>
      </c>
      <c r="L128" s="351"/>
      <c r="M128" s="252" t="s">
        <v>218</v>
      </c>
      <c r="N128" s="353"/>
      <c r="O128" s="433"/>
    </row>
    <row r="129" ht="17.25" customHeight="1">
      <c r="B129" s="348" t="s">
        <v>766</v>
      </c>
      <c r="C129" s="414" t="s">
        <v>115</v>
      </c>
      <c r="D129" s="527" t="s">
        <v>116</v>
      </c>
      <c r="E129" s="442" t="s">
        <v>767</v>
      </c>
      <c r="F129" s="353"/>
      <c r="G129" s="415" t="s">
        <v>723</v>
      </c>
      <c r="H129" s="252" t="s">
        <v>592</v>
      </c>
      <c r="I129" s="351"/>
      <c r="J129" s="354" t="s">
        <v>166</v>
      </c>
      <c r="K129" s="354" t="s">
        <v>166</v>
      </c>
      <c r="L129" s="351"/>
      <c r="M129" s="252" t="s">
        <v>363</v>
      </c>
      <c r="N129" s="353"/>
      <c r="O129" s="433"/>
    </row>
    <row r="130" ht="17.25" customHeight="1">
      <c r="B130" s="348" t="s">
        <v>768</v>
      </c>
      <c r="C130" s="423" t="s">
        <v>31</v>
      </c>
      <c r="D130" s="423" t="s">
        <v>112</v>
      </c>
      <c r="E130" s="442" t="s">
        <v>769</v>
      </c>
      <c r="F130" s="353"/>
      <c r="G130" s="252" t="s">
        <v>118</v>
      </c>
      <c r="H130" s="252" t="s">
        <v>118</v>
      </c>
      <c r="I130" s="351"/>
      <c r="J130" s="354" t="s">
        <v>166</v>
      </c>
      <c r="K130" s="354" t="s">
        <v>166</v>
      </c>
      <c r="L130" s="351"/>
      <c r="M130" s="252" t="s">
        <v>358</v>
      </c>
      <c r="N130" s="353"/>
      <c r="O130" s="433"/>
    </row>
    <row r="131" ht="17.25" customHeight="1">
      <c r="B131" s="348" t="s">
        <v>770</v>
      </c>
      <c r="C131" s="503" t="s">
        <v>24</v>
      </c>
      <c r="D131" s="503" t="s">
        <v>106</v>
      </c>
      <c r="E131" s="442" t="s">
        <v>771</v>
      </c>
      <c r="F131" s="353"/>
      <c r="G131" s="252" t="s">
        <v>118</v>
      </c>
      <c r="H131" s="252" t="s">
        <v>118</v>
      </c>
      <c r="I131" s="351"/>
      <c r="J131" s="354" t="s">
        <v>166</v>
      </c>
      <c r="K131" s="354" t="s">
        <v>166</v>
      </c>
      <c r="L131" s="351"/>
      <c r="M131" s="252" t="s">
        <v>363</v>
      </c>
      <c r="N131" s="353"/>
      <c r="O131" s="433"/>
    </row>
    <row r="132" ht="17.25" customHeight="1">
      <c r="B132" s="348" t="s">
        <v>772</v>
      </c>
      <c r="C132" s="364" t="s">
        <v>31</v>
      </c>
      <c r="D132" s="364" t="s">
        <v>32</v>
      </c>
      <c r="E132" s="442" t="s">
        <v>773</v>
      </c>
      <c r="F132" s="353"/>
      <c r="G132" s="252" t="s">
        <v>118</v>
      </c>
      <c r="H132" s="252" t="s">
        <v>118</v>
      </c>
      <c r="I132" s="351"/>
      <c r="J132" s="354" t="s">
        <v>166</v>
      </c>
      <c r="K132" s="354" t="s">
        <v>166</v>
      </c>
      <c r="L132" s="351"/>
      <c r="M132" s="252" t="s">
        <v>218</v>
      </c>
      <c r="N132" s="353"/>
      <c r="O132" s="433"/>
    </row>
    <row r="133" ht="17.25" customHeight="1">
      <c r="B133" s="348" t="s">
        <v>774</v>
      </c>
      <c r="C133" s="413" t="s">
        <v>36</v>
      </c>
      <c r="D133" s="413" t="s">
        <v>37</v>
      </c>
      <c r="E133" s="442" t="s">
        <v>775</v>
      </c>
      <c r="F133" s="353"/>
      <c r="G133" s="252" t="s">
        <v>118</v>
      </c>
      <c r="H133" s="252" t="s">
        <v>118</v>
      </c>
      <c r="I133" s="351"/>
      <c r="J133" s="354" t="s">
        <v>166</v>
      </c>
      <c r="K133" s="354" t="s">
        <v>166</v>
      </c>
      <c r="L133" s="351"/>
      <c r="M133" s="252" t="s">
        <v>218</v>
      </c>
      <c r="N133" s="353"/>
      <c r="O133" s="433"/>
    </row>
    <row r="134" ht="17.25" customHeight="1">
      <c r="B134" s="348" t="s">
        <v>776</v>
      </c>
      <c r="C134" s="479" t="s">
        <v>589</v>
      </c>
      <c r="D134" s="479" t="s">
        <v>25</v>
      </c>
      <c r="E134" s="442" t="s">
        <v>777</v>
      </c>
      <c r="F134" s="353"/>
      <c r="G134" s="415" t="s">
        <v>723</v>
      </c>
      <c r="H134" s="402" t="s">
        <v>592</v>
      </c>
      <c r="I134" s="351"/>
      <c r="J134" s="354" t="s">
        <v>166</v>
      </c>
      <c r="K134" s="354" t="s">
        <v>166</v>
      </c>
      <c r="L134" s="351"/>
      <c r="M134" s="252" t="s">
        <v>253</v>
      </c>
      <c r="N134" s="353"/>
      <c r="O134" s="433"/>
    </row>
    <row r="135" ht="17.25" customHeight="1">
      <c r="B135" s="348" t="s">
        <v>778</v>
      </c>
      <c r="C135" s="479" t="s">
        <v>589</v>
      </c>
      <c r="D135" s="479" t="s">
        <v>182</v>
      </c>
      <c r="E135" s="442" t="s">
        <v>779</v>
      </c>
      <c r="F135" s="353"/>
      <c r="G135" s="252" t="s">
        <v>118</v>
      </c>
      <c r="H135" s="402" t="s">
        <v>118</v>
      </c>
      <c r="I135" s="351"/>
      <c r="J135" s="354" t="s">
        <v>166</v>
      </c>
      <c r="K135" s="354" t="s">
        <v>166</v>
      </c>
      <c r="L135" s="351"/>
      <c r="M135" s="252" t="s">
        <v>218</v>
      </c>
      <c r="N135" s="353"/>
      <c r="O135" s="433"/>
    </row>
    <row r="136" ht="7.5" customHeight="1">
      <c r="A136" s="528"/>
      <c r="B136" s="529"/>
      <c r="C136" s="530"/>
      <c r="D136" s="530"/>
      <c r="E136" s="451"/>
      <c r="F136" s="531"/>
      <c r="G136" s="529"/>
      <c r="H136" s="531"/>
      <c r="I136" s="531"/>
      <c r="J136" s="531"/>
      <c r="K136" s="528"/>
      <c r="L136" s="529"/>
      <c r="M136" s="530"/>
      <c r="N136" s="530"/>
      <c r="O136" s="451"/>
    </row>
    <row r="137" ht="17.25" customHeight="1">
      <c r="A137" s="347" t="s">
        <v>780</v>
      </c>
      <c r="B137" s="474" t="s">
        <v>781</v>
      </c>
      <c r="C137" s="503" t="s">
        <v>24</v>
      </c>
      <c r="D137" s="503" t="s">
        <v>106</v>
      </c>
      <c r="E137" s="532" t="s">
        <v>782</v>
      </c>
      <c r="F137" s="353"/>
      <c r="G137" s="252" t="s">
        <v>118</v>
      </c>
      <c r="H137" s="402" t="s">
        <v>118</v>
      </c>
      <c r="I137" s="351"/>
      <c r="J137" s="354" t="s">
        <v>166</v>
      </c>
      <c r="K137" s="354" t="s">
        <v>166</v>
      </c>
      <c r="L137" s="351"/>
      <c r="M137" s="456"/>
      <c r="N137" s="353"/>
      <c r="O137" s="433"/>
    </row>
    <row r="138" ht="17.25" customHeight="1">
      <c r="B138" s="478" t="s">
        <v>783</v>
      </c>
      <c r="C138" s="430" t="s">
        <v>15</v>
      </c>
      <c r="D138" s="430" t="s">
        <v>95</v>
      </c>
      <c r="E138" s="533" t="s">
        <v>784</v>
      </c>
      <c r="F138" s="353"/>
      <c r="G138" s="252" t="s">
        <v>118</v>
      </c>
      <c r="H138" s="402" t="s">
        <v>118</v>
      </c>
      <c r="I138" s="351"/>
      <c r="J138" s="354" t="s">
        <v>166</v>
      </c>
      <c r="K138" s="354" t="s">
        <v>166</v>
      </c>
      <c r="L138" s="351"/>
      <c r="M138" s="456"/>
      <c r="N138" s="353"/>
      <c r="O138" s="433"/>
    </row>
    <row r="139" ht="17.25" customHeight="1">
      <c r="B139" s="474" t="s">
        <v>785</v>
      </c>
      <c r="C139" s="479" t="s">
        <v>589</v>
      </c>
      <c r="D139" s="479" t="s">
        <v>16</v>
      </c>
      <c r="E139" s="534" t="s">
        <v>786</v>
      </c>
      <c r="F139" s="353"/>
      <c r="G139" s="252" t="s">
        <v>118</v>
      </c>
      <c r="H139" s="402" t="s">
        <v>118</v>
      </c>
      <c r="I139" s="351"/>
      <c r="J139" s="354" t="s">
        <v>166</v>
      </c>
      <c r="K139" s="354" t="s">
        <v>166</v>
      </c>
      <c r="L139" s="351"/>
      <c r="M139" s="456"/>
      <c r="N139" s="353"/>
      <c r="O139" s="354" t="s">
        <v>787</v>
      </c>
    </row>
    <row r="140" ht="17.25" customHeight="1">
      <c r="B140" s="478" t="s">
        <v>788</v>
      </c>
      <c r="C140" s="413" t="s">
        <v>36</v>
      </c>
      <c r="D140" s="413" t="s">
        <v>101</v>
      </c>
      <c r="E140" s="535" t="s">
        <v>789</v>
      </c>
      <c r="F140" s="353"/>
      <c r="G140" s="252" t="s">
        <v>118</v>
      </c>
      <c r="H140" s="402" t="s">
        <v>118</v>
      </c>
      <c r="I140" s="351"/>
      <c r="J140" s="354" t="s">
        <v>170</v>
      </c>
      <c r="K140" s="354" t="s">
        <v>118</v>
      </c>
      <c r="L140" s="351"/>
      <c r="M140" s="456"/>
      <c r="N140" s="353"/>
      <c r="O140" s="433"/>
    </row>
    <row r="141" ht="17.25" customHeight="1">
      <c r="B141" s="474" t="s">
        <v>790</v>
      </c>
      <c r="C141" s="503" t="s">
        <v>24</v>
      </c>
      <c r="D141" s="503" t="s">
        <v>106</v>
      </c>
      <c r="E141" s="536" t="s">
        <v>791</v>
      </c>
      <c r="F141" s="353"/>
      <c r="G141" s="415" t="s">
        <v>723</v>
      </c>
      <c r="H141" s="402" t="s">
        <v>595</v>
      </c>
      <c r="I141" s="351"/>
      <c r="J141" s="354" t="s">
        <v>576</v>
      </c>
      <c r="K141" s="354" t="s">
        <v>576</v>
      </c>
      <c r="L141" s="351"/>
      <c r="M141" s="456"/>
      <c r="N141" s="353"/>
      <c r="O141" s="433"/>
    </row>
    <row r="142" ht="17.25" customHeight="1">
      <c r="F142" s="353"/>
      <c r="G142" s="415" t="s">
        <v>792</v>
      </c>
      <c r="H142" s="402" t="s">
        <v>592</v>
      </c>
      <c r="I142" s="351"/>
      <c r="L142" s="351"/>
      <c r="M142" s="456"/>
      <c r="N142" s="353"/>
      <c r="O142" s="433"/>
    </row>
    <row r="143" ht="1.5" customHeight="1">
      <c r="F143" s="353"/>
      <c r="H143" s="135"/>
      <c r="I143" s="351"/>
      <c r="L143" s="351"/>
      <c r="M143" s="456"/>
      <c r="N143" s="353"/>
      <c r="O143" s="433"/>
    </row>
    <row r="144" ht="17.25" customHeight="1">
      <c r="B144" s="478" t="s">
        <v>793</v>
      </c>
      <c r="C144" s="413" t="s">
        <v>36</v>
      </c>
      <c r="D144" s="413" t="s">
        <v>101</v>
      </c>
      <c r="E144" s="533" t="s">
        <v>794</v>
      </c>
      <c r="F144" s="353"/>
      <c r="G144" s="252" t="s">
        <v>118</v>
      </c>
      <c r="H144" s="402" t="s">
        <v>118</v>
      </c>
      <c r="I144" s="351"/>
      <c r="J144" s="354" t="s">
        <v>170</v>
      </c>
      <c r="K144" s="354" t="s">
        <v>118</v>
      </c>
      <c r="L144" s="351"/>
      <c r="M144" s="456"/>
      <c r="N144" s="353"/>
      <c r="O144" s="433"/>
    </row>
    <row r="145" ht="17.25" customHeight="1">
      <c r="B145" s="474" t="s">
        <v>795</v>
      </c>
      <c r="C145" s="479" t="s">
        <v>589</v>
      </c>
      <c r="D145" s="479" t="s">
        <v>796</v>
      </c>
      <c r="E145" s="532" t="s">
        <v>797</v>
      </c>
      <c r="F145" s="353"/>
      <c r="G145" s="252" t="s">
        <v>118</v>
      </c>
      <c r="H145" s="402" t="s">
        <v>118</v>
      </c>
      <c r="I145" s="351"/>
      <c r="J145" s="354" t="s">
        <v>166</v>
      </c>
      <c r="K145" s="354" t="s">
        <v>576</v>
      </c>
      <c r="L145" s="351"/>
      <c r="M145" s="456"/>
      <c r="N145" s="353"/>
      <c r="O145" s="433"/>
    </row>
    <row r="146" ht="17.25" customHeight="1">
      <c r="B146" s="478" t="s">
        <v>798</v>
      </c>
      <c r="C146" s="479" t="s">
        <v>589</v>
      </c>
      <c r="D146" s="479" t="s">
        <v>201</v>
      </c>
      <c r="E146" s="533" t="s">
        <v>799</v>
      </c>
      <c r="F146" s="353"/>
      <c r="G146" s="415" t="s">
        <v>723</v>
      </c>
      <c r="H146" s="402" t="s">
        <v>118</v>
      </c>
      <c r="I146" s="351"/>
      <c r="J146" s="354" t="s">
        <v>576</v>
      </c>
      <c r="K146" s="354" t="s">
        <v>576</v>
      </c>
      <c r="L146" s="351"/>
      <c r="M146" s="456"/>
      <c r="N146" s="353"/>
      <c r="O146" s="433"/>
    </row>
    <row r="147" ht="17.25" customHeight="1">
      <c r="B147" s="474" t="s">
        <v>800</v>
      </c>
      <c r="C147" s="503" t="s">
        <v>24</v>
      </c>
      <c r="D147" s="503" t="s">
        <v>106</v>
      </c>
      <c r="E147" s="532" t="s">
        <v>801</v>
      </c>
      <c r="F147" s="353"/>
      <c r="G147" s="252" t="s">
        <v>118</v>
      </c>
      <c r="H147" s="402" t="s">
        <v>118</v>
      </c>
      <c r="I147" s="351"/>
      <c r="J147" s="354" t="s">
        <v>576</v>
      </c>
      <c r="K147" s="354" t="s">
        <v>576</v>
      </c>
      <c r="L147" s="351"/>
      <c r="M147" s="456"/>
      <c r="N147" s="353"/>
      <c r="O147" s="433"/>
    </row>
    <row r="148" ht="17.25" customHeight="1">
      <c r="B148" s="478" t="s">
        <v>802</v>
      </c>
      <c r="C148" s="364" t="s">
        <v>31</v>
      </c>
      <c r="D148" s="364" t="s">
        <v>32</v>
      </c>
      <c r="E148" s="533" t="s">
        <v>803</v>
      </c>
      <c r="F148" s="353"/>
      <c r="G148" s="252" t="s">
        <v>118</v>
      </c>
      <c r="H148" s="402" t="s">
        <v>118</v>
      </c>
      <c r="I148" s="351"/>
      <c r="J148" s="354" t="s">
        <v>170</v>
      </c>
      <c r="K148" s="354" t="s">
        <v>118</v>
      </c>
      <c r="L148" s="351"/>
      <c r="M148" s="456"/>
      <c r="N148" s="353"/>
      <c r="O148" s="433"/>
    </row>
    <row r="149" ht="17.25" customHeight="1">
      <c r="B149" s="474" t="s">
        <v>804</v>
      </c>
      <c r="C149" s="413" t="s">
        <v>36</v>
      </c>
      <c r="D149" s="413" t="s">
        <v>101</v>
      </c>
      <c r="E149" s="537" t="s">
        <v>805</v>
      </c>
      <c r="F149" s="353"/>
      <c r="G149" s="252" t="s">
        <v>118</v>
      </c>
      <c r="H149" s="402" t="s">
        <v>118</v>
      </c>
      <c r="I149" s="351"/>
      <c r="J149" s="354" t="s">
        <v>576</v>
      </c>
      <c r="K149" s="354" t="s">
        <v>576</v>
      </c>
      <c r="L149" s="351"/>
      <c r="M149" s="456"/>
      <c r="N149" s="353"/>
      <c r="O149" s="433"/>
    </row>
    <row r="150" ht="17.25" customHeight="1">
      <c r="B150" s="478" t="s">
        <v>806</v>
      </c>
      <c r="C150" s="503" t="s">
        <v>24</v>
      </c>
      <c r="D150" s="503" t="s">
        <v>25</v>
      </c>
      <c r="E150" s="538" t="s">
        <v>807</v>
      </c>
      <c r="F150" s="353"/>
      <c r="G150" s="252" t="s">
        <v>118</v>
      </c>
      <c r="H150" s="402" t="s">
        <v>118</v>
      </c>
      <c r="I150" s="351"/>
      <c r="J150" s="354" t="s">
        <v>576</v>
      </c>
      <c r="K150" s="354" t="s">
        <v>576</v>
      </c>
      <c r="L150" s="351"/>
      <c r="M150" s="456"/>
      <c r="N150" s="353"/>
      <c r="O150" s="433"/>
    </row>
    <row r="151" ht="17.25" customHeight="1">
      <c r="B151" s="474" t="s">
        <v>808</v>
      </c>
      <c r="C151" s="503" t="s">
        <v>24</v>
      </c>
      <c r="D151" s="503" t="s">
        <v>106</v>
      </c>
      <c r="E151" s="537" t="s">
        <v>809</v>
      </c>
      <c r="F151" s="353"/>
      <c r="G151" s="252" t="s">
        <v>118</v>
      </c>
      <c r="H151" s="402" t="s">
        <v>118</v>
      </c>
      <c r="I151" s="351"/>
      <c r="J151" s="354" t="s">
        <v>576</v>
      </c>
      <c r="K151" s="354" t="s">
        <v>576</v>
      </c>
      <c r="L151" s="351"/>
      <c r="M151" s="456"/>
      <c r="N151" s="353"/>
      <c r="O151" s="433"/>
    </row>
    <row r="152" ht="17.25" customHeight="1">
      <c r="B152" s="539" t="s">
        <v>810</v>
      </c>
      <c r="C152" s="540" t="s">
        <v>24</v>
      </c>
      <c r="D152" s="540" t="s">
        <v>106</v>
      </c>
      <c r="E152" s="541" t="s">
        <v>811</v>
      </c>
      <c r="F152" s="353"/>
      <c r="G152" s="252" t="s">
        <v>118</v>
      </c>
      <c r="H152" s="402" t="s">
        <v>118</v>
      </c>
      <c r="I152" s="351"/>
      <c r="J152" s="354" t="s">
        <v>576</v>
      </c>
      <c r="K152" s="354" t="s">
        <v>576</v>
      </c>
      <c r="L152" s="351"/>
      <c r="M152" s="456"/>
      <c r="N152" s="353"/>
      <c r="O152" s="433"/>
    </row>
    <row r="153" ht="17.25" customHeight="1">
      <c r="B153" s="542" t="s">
        <v>812</v>
      </c>
      <c r="C153" s="430" t="s">
        <v>15</v>
      </c>
      <c r="D153" s="430" t="s">
        <v>182</v>
      </c>
      <c r="E153" s="543" t="s">
        <v>813</v>
      </c>
      <c r="F153" s="353"/>
      <c r="G153" s="252" t="s">
        <v>118</v>
      </c>
      <c r="H153" s="402" t="s">
        <v>118</v>
      </c>
      <c r="I153" s="351"/>
      <c r="J153" s="354" t="s">
        <v>576</v>
      </c>
      <c r="K153" s="354" t="s">
        <v>576</v>
      </c>
      <c r="L153" s="351"/>
      <c r="M153" s="456"/>
      <c r="N153" s="353"/>
      <c r="O153" s="433"/>
    </row>
    <row r="154" ht="17.25" customHeight="1">
      <c r="B154" s="542" t="s">
        <v>814</v>
      </c>
      <c r="C154" s="430" t="s">
        <v>15</v>
      </c>
      <c r="D154" s="430" t="s">
        <v>182</v>
      </c>
      <c r="E154" s="544" t="s">
        <v>815</v>
      </c>
      <c r="F154" s="353"/>
      <c r="G154" s="252" t="s">
        <v>118</v>
      </c>
      <c r="H154" s="402" t="s">
        <v>118</v>
      </c>
      <c r="I154" s="351"/>
      <c r="J154" s="354" t="s">
        <v>576</v>
      </c>
      <c r="K154" s="354" t="s">
        <v>576</v>
      </c>
      <c r="L154" s="351"/>
      <c r="M154" s="456"/>
      <c r="N154" s="353"/>
      <c r="O154" s="433"/>
    </row>
    <row r="155" ht="17.25" customHeight="1">
      <c r="A155" s="433"/>
      <c r="B155" s="456"/>
      <c r="C155" s="433"/>
      <c r="D155" s="433"/>
      <c r="E155" s="545"/>
      <c r="F155" s="353"/>
      <c r="G155" s="456"/>
      <c r="H155" s="455"/>
      <c r="I155" s="351"/>
      <c r="J155" s="433"/>
      <c r="K155" s="546"/>
      <c r="L155" s="351"/>
      <c r="M155" s="456"/>
      <c r="N155" s="353"/>
      <c r="O155" s="433"/>
    </row>
    <row r="156" ht="17.25" customHeight="1">
      <c r="A156" s="433"/>
      <c r="B156" s="456"/>
      <c r="C156" s="433"/>
      <c r="D156" s="433"/>
      <c r="E156" s="545"/>
      <c r="F156" s="353"/>
      <c r="G156" s="456"/>
      <c r="H156" s="455"/>
      <c r="I156" s="351"/>
      <c r="J156" s="433"/>
      <c r="K156" s="546"/>
      <c r="L156" s="351"/>
      <c r="M156" s="456"/>
      <c r="N156" s="353"/>
      <c r="O156" s="433"/>
    </row>
    <row r="157" ht="17.25" customHeight="1">
      <c r="A157" s="433"/>
      <c r="B157" s="456"/>
      <c r="C157" s="433"/>
      <c r="D157" s="433"/>
      <c r="E157" s="545"/>
      <c r="F157" s="353"/>
      <c r="G157" s="456"/>
      <c r="H157" s="455"/>
      <c r="I157" s="351"/>
      <c r="J157" s="433"/>
      <c r="K157" s="546"/>
      <c r="L157" s="351"/>
      <c r="M157" s="456"/>
      <c r="N157" s="353"/>
      <c r="O157" s="433"/>
    </row>
    <row r="158" ht="17.25" customHeight="1">
      <c r="A158" s="433"/>
      <c r="B158" s="456"/>
      <c r="C158" s="433"/>
      <c r="D158" s="433"/>
      <c r="E158" s="545"/>
      <c r="F158" s="353"/>
      <c r="G158" s="456"/>
      <c r="H158" s="455"/>
      <c r="I158" s="351"/>
      <c r="J158" s="433"/>
      <c r="K158" s="546"/>
      <c r="L158" s="351"/>
      <c r="M158" s="456"/>
      <c r="N158" s="353"/>
      <c r="O158" s="433"/>
    </row>
    <row r="159" ht="17.25" customHeight="1">
      <c r="A159" s="433"/>
      <c r="B159" s="456"/>
      <c r="C159" s="433"/>
      <c r="D159" s="433"/>
      <c r="E159" s="545"/>
      <c r="F159" s="353"/>
      <c r="G159" s="456"/>
      <c r="H159" s="455"/>
      <c r="I159" s="351"/>
      <c r="J159" s="433"/>
      <c r="K159" s="546"/>
      <c r="L159" s="351"/>
      <c r="M159" s="456"/>
      <c r="N159" s="353"/>
      <c r="O159" s="433"/>
    </row>
    <row r="160" ht="17.25" customHeight="1">
      <c r="A160" s="433"/>
      <c r="B160" s="456"/>
      <c r="C160" s="433"/>
      <c r="D160" s="433"/>
      <c r="E160" s="545"/>
      <c r="F160" s="353"/>
      <c r="G160" s="456"/>
      <c r="H160" s="455"/>
      <c r="I160" s="351"/>
      <c r="J160" s="433"/>
      <c r="K160" s="546"/>
      <c r="L160" s="351"/>
      <c r="M160" s="456"/>
      <c r="N160" s="353"/>
      <c r="O160" s="433"/>
    </row>
    <row r="161" ht="17.25" customHeight="1">
      <c r="A161" s="433"/>
      <c r="B161" s="456"/>
      <c r="C161" s="433"/>
      <c r="D161" s="433"/>
      <c r="E161" s="545"/>
      <c r="F161" s="353"/>
      <c r="G161" s="456"/>
      <c r="H161" s="455"/>
      <c r="I161" s="351"/>
      <c r="J161" s="433"/>
      <c r="K161" s="546"/>
      <c r="L161" s="351"/>
      <c r="M161" s="456"/>
      <c r="N161" s="353"/>
      <c r="O161" s="433"/>
    </row>
    <row r="162" ht="17.25" customHeight="1">
      <c r="A162" s="433"/>
      <c r="B162" s="456"/>
      <c r="C162" s="433"/>
      <c r="D162" s="433"/>
      <c r="E162" s="545"/>
      <c r="F162" s="353"/>
      <c r="G162" s="456"/>
      <c r="H162" s="455"/>
      <c r="I162" s="351"/>
      <c r="J162" s="433"/>
      <c r="K162" s="546"/>
      <c r="L162" s="351"/>
      <c r="M162" s="456"/>
      <c r="N162" s="353"/>
      <c r="O162" s="433"/>
    </row>
    <row r="163" ht="17.25" customHeight="1">
      <c r="A163" s="433"/>
      <c r="B163" s="456"/>
      <c r="C163" s="433"/>
      <c r="D163" s="433"/>
      <c r="E163" s="545"/>
      <c r="F163" s="353"/>
      <c r="G163" s="456"/>
      <c r="H163" s="455"/>
      <c r="I163" s="351"/>
      <c r="J163" s="433"/>
      <c r="K163" s="546"/>
      <c r="L163" s="351"/>
      <c r="M163" s="456"/>
      <c r="N163" s="353"/>
      <c r="O163" s="433"/>
    </row>
    <row r="164" ht="17.25" customHeight="1">
      <c r="A164" s="433"/>
      <c r="B164" s="456"/>
      <c r="C164" s="433"/>
      <c r="D164" s="433"/>
      <c r="E164" s="545"/>
      <c r="F164" s="353"/>
      <c r="G164" s="456"/>
      <c r="H164" s="455"/>
      <c r="I164" s="351"/>
      <c r="J164" s="433"/>
      <c r="K164" s="546"/>
      <c r="L164" s="351"/>
      <c r="M164" s="456"/>
      <c r="N164" s="353"/>
      <c r="O164" s="433"/>
    </row>
    <row r="165" ht="17.25" customHeight="1">
      <c r="A165" s="433"/>
      <c r="B165" s="456"/>
      <c r="C165" s="433"/>
      <c r="D165" s="433"/>
      <c r="E165" s="545"/>
      <c r="F165" s="353"/>
      <c r="G165" s="456"/>
      <c r="H165" s="455"/>
      <c r="I165" s="351"/>
      <c r="J165" s="433"/>
      <c r="K165" s="546"/>
      <c r="L165" s="351"/>
      <c r="M165" s="456"/>
      <c r="N165" s="353"/>
      <c r="O165" s="433"/>
    </row>
    <row r="166" ht="17.25" customHeight="1">
      <c r="A166" s="433"/>
      <c r="B166" s="456"/>
      <c r="C166" s="433"/>
      <c r="D166" s="433"/>
      <c r="E166" s="545"/>
      <c r="F166" s="353"/>
      <c r="G166" s="456"/>
      <c r="H166" s="455"/>
      <c r="I166" s="351"/>
      <c r="J166" s="433"/>
      <c r="K166" s="546"/>
      <c r="L166" s="351"/>
      <c r="M166" s="456"/>
      <c r="N166" s="353"/>
      <c r="O166" s="433"/>
    </row>
    <row r="167" ht="17.25" customHeight="1">
      <c r="A167" s="433"/>
      <c r="B167" s="456"/>
      <c r="C167" s="433"/>
      <c r="D167" s="433"/>
      <c r="E167" s="545"/>
      <c r="F167" s="353"/>
      <c r="G167" s="456"/>
      <c r="H167" s="455"/>
      <c r="I167" s="351"/>
      <c r="J167" s="433"/>
      <c r="K167" s="546"/>
      <c r="L167" s="351"/>
      <c r="M167" s="456"/>
      <c r="N167" s="353"/>
      <c r="O167" s="433"/>
    </row>
    <row r="168" ht="17.25" customHeight="1">
      <c r="A168" s="433"/>
      <c r="B168" s="456"/>
      <c r="C168" s="433"/>
      <c r="D168" s="433"/>
      <c r="E168" s="545"/>
      <c r="F168" s="353"/>
      <c r="G168" s="456"/>
      <c r="H168" s="455"/>
      <c r="I168" s="351"/>
      <c r="J168" s="433"/>
      <c r="K168" s="546"/>
      <c r="L168" s="351"/>
      <c r="M168" s="456"/>
      <c r="N168" s="353"/>
      <c r="O168" s="433"/>
    </row>
    <row r="169" ht="17.25" customHeight="1">
      <c r="A169" s="433"/>
      <c r="B169" s="456"/>
      <c r="C169" s="433"/>
      <c r="D169" s="433"/>
      <c r="E169" s="545"/>
      <c r="F169" s="353"/>
      <c r="G169" s="456"/>
      <c r="H169" s="455"/>
      <c r="I169" s="351"/>
      <c r="J169" s="433"/>
      <c r="K169" s="546"/>
      <c r="L169" s="351"/>
      <c r="M169" s="456"/>
      <c r="N169" s="353"/>
      <c r="O169" s="433"/>
    </row>
    <row r="170" ht="17.25" customHeight="1">
      <c r="A170" s="433"/>
      <c r="B170" s="456"/>
      <c r="C170" s="433"/>
      <c r="D170" s="433"/>
      <c r="E170" s="545"/>
      <c r="F170" s="353"/>
      <c r="G170" s="456"/>
      <c r="H170" s="455"/>
      <c r="I170" s="351"/>
      <c r="J170" s="433"/>
      <c r="K170" s="546"/>
      <c r="L170" s="351"/>
      <c r="M170" s="456"/>
      <c r="N170" s="353"/>
      <c r="O170" s="433"/>
    </row>
    <row r="171" ht="17.25" customHeight="1">
      <c r="A171" s="433"/>
      <c r="B171" s="456"/>
      <c r="C171" s="433"/>
      <c r="D171" s="433"/>
      <c r="E171" s="545"/>
      <c r="F171" s="353"/>
      <c r="G171" s="456"/>
      <c r="H171" s="455"/>
      <c r="I171" s="351"/>
      <c r="J171" s="433"/>
      <c r="K171" s="546"/>
      <c r="L171" s="351"/>
      <c r="M171" s="456"/>
      <c r="N171" s="353"/>
      <c r="O171" s="433"/>
    </row>
    <row r="172" ht="17.25" customHeight="1">
      <c r="A172" s="433"/>
      <c r="B172" s="456"/>
      <c r="C172" s="433"/>
      <c r="D172" s="433"/>
      <c r="E172" s="545"/>
      <c r="F172" s="353"/>
      <c r="G172" s="456"/>
      <c r="H172" s="455"/>
      <c r="I172" s="351"/>
      <c r="J172" s="433"/>
      <c r="K172" s="546"/>
      <c r="L172" s="351"/>
      <c r="M172" s="456"/>
      <c r="N172" s="353"/>
      <c r="O172" s="433"/>
    </row>
    <row r="173" ht="17.25" customHeight="1">
      <c r="A173" s="433"/>
      <c r="B173" s="456"/>
      <c r="C173" s="433"/>
      <c r="D173" s="433"/>
      <c r="E173" s="545"/>
      <c r="F173" s="353"/>
      <c r="G173" s="456"/>
      <c r="H173" s="455"/>
      <c r="I173" s="351"/>
      <c r="J173" s="433"/>
      <c r="K173" s="546"/>
      <c r="L173" s="351"/>
      <c r="M173" s="456"/>
      <c r="N173" s="353"/>
      <c r="O173" s="433"/>
    </row>
    <row r="174" ht="17.25" customHeight="1">
      <c r="A174" s="433"/>
      <c r="B174" s="456"/>
      <c r="C174" s="433"/>
      <c r="D174" s="433"/>
      <c r="E174" s="545"/>
      <c r="F174" s="353"/>
      <c r="G174" s="456"/>
      <c r="H174" s="455"/>
      <c r="I174" s="351"/>
      <c r="J174" s="433"/>
      <c r="K174" s="546"/>
      <c r="L174" s="351"/>
      <c r="M174" s="456"/>
      <c r="N174" s="353"/>
      <c r="O174" s="433"/>
    </row>
    <row r="175" ht="17.25" customHeight="1">
      <c r="A175" s="433"/>
      <c r="B175" s="456"/>
      <c r="C175" s="433"/>
      <c r="D175" s="433"/>
      <c r="E175" s="545"/>
      <c r="F175" s="353"/>
      <c r="G175" s="456"/>
      <c r="H175" s="455"/>
      <c r="I175" s="351"/>
      <c r="J175" s="433"/>
      <c r="K175" s="546"/>
      <c r="L175" s="351"/>
      <c r="M175" s="456"/>
      <c r="N175" s="353"/>
      <c r="O175" s="433"/>
    </row>
    <row r="176" ht="17.25" customHeight="1">
      <c r="A176" s="433"/>
      <c r="B176" s="456"/>
      <c r="C176" s="433"/>
      <c r="D176" s="433"/>
      <c r="E176" s="545"/>
      <c r="F176" s="353"/>
      <c r="G176" s="456"/>
      <c r="H176" s="455"/>
      <c r="I176" s="351"/>
      <c r="J176" s="433"/>
      <c r="K176" s="546"/>
      <c r="L176" s="351"/>
      <c r="M176" s="456"/>
      <c r="N176" s="353"/>
      <c r="O176" s="433"/>
    </row>
    <row r="177" ht="17.25" customHeight="1">
      <c r="A177" s="433"/>
      <c r="B177" s="456"/>
      <c r="C177" s="433"/>
      <c r="D177" s="433"/>
      <c r="E177" s="545"/>
      <c r="F177" s="353"/>
      <c r="G177" s="456"/>
      <c r="H177" s="455"/>
      <c r="I177" s="351"/>
      <c r="J177" s="433"/>
      <c r="K177" s="546"/>
      <c r="L177" s="351"/>
      <c r="M177" s="456"/>
      <c r="N177" s="353"/>
      <c r="O177" s="433"/>
    </row>
    <row r="178" ht="17.25" customHeight="1">
      <c r="A178" s="433"/>
      <c r="B178" s="456"/>
      <c r="C178" s="433"/>
      <c r="D178" s="433"/>
      <c r="E178" s="545"/>
      <c r="F178" s="353"/>
      <c r="G178" s="456"/>
      <c r="H178" s="455"/>
      <c r="I178" s="351"/>
      <c r="J178" s="433"/>
      <c r="K178" s="546"/>
      <c r="L178" s="351"/>
      <c r="M178" s="456"/>
      <c r="N178" s="353"/>
      <c r="O178" s="433"/>
    </row>
    <row r="179" ht="17.25" customHeight="1">
      <c r="A179" s="433"/>
      <c r="B179" s="456"/>
      <c r="C179" s="433"/>
      <c r="D179" s="433"/>
      <c r="E179" s="545"/>
      <c r="F179" s="353"/>
      <c r="G179" s="456"/>
      <c r="H179" s="455"/>
      <c r="I179" s="351"/>
      <c r="J179" s="433"/>
      <c r="K179" s="546"/>
      <c r="L179" s="351"/>
      <c r="M179" s="456"/>
      <c r="N179" s="353"/>
      <c r="O179" s="433"/>
    </row>
    <row r="180" ht="17.25" customHeight="1">
      <c r="A180" s="433"/>
      <c r="B180" s="456"/>
      <c r="C180" s="433"/>
      <c r="D180" s="433"/>
      <c r="E180" s="545"/>
      <c r="F180" s="353"/>
      <c r="G180" s="456"/>
      <c r="H180" s="455"/>
      <c r="I180" s="351"/>
      <c r="J180" s="433"/>
      <c r="K180" s="546"/>
      <c r="L180" s="351"/>
      <c r="M180" s="456"/>
      <c r="N180" s="353"/>
      <c r="O180" s="433"/>
    </row>
    <row r="181" ht="17.25" customHeight="1">
      <c r="A181" s="433"/>
      <c r="B181" s="456"/>
      <c r="C181" s="433"/>
      <c r="D181" s="433"/>
      <c r="E181" s="545"/>
      <c r="F181" s="353"/>
      <c r="G181" s="456"/>
      <c r="H181" s="455"/>
      <c r="I181" s="351"/>
      <c r="J181" s="433"/>
      <c r="K181" s="546"/>
      <c r="L181" s="351"/>
      <c r="M181" s="456"/>
      <c r="N181" s="353"/>
      <c r="O181" s="433"/>
    </row>
    <row r="182" ht="17.25" customHeight="1">
      <c r="A182" s="433"/>
      <c r="B182" s="456"/>
      <c r="C182" s="433"/>
      <c r="D182" s="433"/>
      <c r="E182" s="545"/>
      <c r="F182" s="353"/>
      <c r="G182" s="456"/>
      <c r="H182" s="455"/>
      <c r="I182" s="351"/>
      <c r="J182" s="433"/>
      <c r="K182" s="546"/>
      <c r="L182" s="351"/>
      <c r="M182" s="456"/>
      <c r="N182" s="353"/>
      <c r="O182" s="433"/>
    </row>
    <row r="183" ht="17.25" customHeight="1">
      <c r="A183" s="433"/>
      <c r="B183" s="456"/>
      <c r="C183" s="433"/>
      <c r="D183" s="433"/>
      <c r="E183" s="545"/>
      <c r="F183" s="353"/>
      <c r="G183" s="456"/>
      <c r="H183" s="455"/>
      <c r="I183" s="351"/>
      <c r="J183" s="433"/>
      <c r="K183" s="546"/>
      <c r="L183" s="351"/>
      <c r="M183" s="456"/>
      <c r="N183" s="353"/>
      <c r="O183" s="433"/>
    </row>
    <row r="184" ht="17.25" customHeight="1">
      <c r="A184" s="433"/>
      <c r="B184" s="456"/>
      <c r="C184" s="433"/>
      <c r="D184" s="433"/>
      <c r="E184" s="545"/>
      <c r="F184" s="353"/>
      <c r="G184" s="456"/>
      <c r="H184" s="455"/>
      <c r="I184" s="351"/>
      <c r="J184" s="433"/>
      <c r="K184" s="546"/>
      <c r="L184" s="351"/>
      <c r="M184" s="456"/>
      <c r="N184" s="353"/>
      <c r="O184" s="433"/>
    </row>
    <row r="185" ht="17.25" customHeight="1">
      <c r="A185" s="433"/>
      <c r="B185" s="456"/>
      <c r="C185" s="433"/>
      <c r="D185" s="433"/>
      <c r="E185" s="545"/>
      <c r="F185" s="353"/>
      <c r="G185" s="456"/>
      <c r="H185" s="455"/>
      <c r="I185" s="351"/>
      <c r="J185" s="433"/>
      <c r="K185" s="546"/>
      <c r="L185" s="351"/>
      <c r="M185" s="456"/>
      <c r="N185" s="353"/>
      <c r="O185" s="433"/>
    </row>
    <row r="186" ht="17.25" customHeight="1">
      <c r="A186" s="433"/>
      <c r="B186" s="456"/>
      <c r="C186" s="433"/>
      <c r="D186" s="433"/>
      <c r="E186" s="545"/>
      <c r="F186" s="353"/>
      <c r="G186" s="456"/>
      <c r="H186" s="455"/>
      <c r="I186" s="351"/>
      <c r="J186" s="433"/>
      <c r="K186" s="546"/>
      <c r="L186" s="351"/>
      <c r="M186" s="456"/>
      <c r="N186" s="353"/>
      <c r="O186" s="433"/>
    </row>
    <row r="187" ht="17.25" customHeight="1">
      <c r="A187" s="433"/>
      <c r="B187" s="456"/>
      <c r="C187" s="433"/>
      <c r="D187" s="433"/>
      <c r="E187" s="545"/>
      <c r="F187" s="353"/>
      <c r="G187" s="456"/>
      <c r="H187" s="455"/>
      <c r="I187" s="351"/>
      <c r="J187" s="433"/>
      <c r="K187" s="546"/>
      <c r="L187" s="351"/>
      <c r="M187" s="456"/>
      <c r="N187" s="353"/>
      <c r="O187" s="433"/>
    </row>
    <row r="188" ht="17.25" customHeight="1">
      <c r="A188" s="433"/>
      <c r="B188" s="456"/>
      <c r="C188" s="433"/>
      <c r="D188" s="433"/>
      <c r="E188" s="545"/>
      <c r="F188" s="353"/>
      <c r="G188" s="456"/>
      <c r="H188" s="455"/>
      <c r="I188" s="351"/>
      <c r="J188" s="433"/>
      <c r="K188" s="546"/>
      <c r="L188" s="351"/>
      <c r="M188" s="456"/>
      <c r="N188" s="353"/>
      <c r="O188" s="433"/>
    </row>
    <row r="189" ht="17.25" customHeight="1">
      <c r="A189" s="433"/>
      <c r="B189" s="456"/>
      <c r="C189" s="433"/>
      <c r="D189" s="433"/>
      <c r="E189" s="545"/>
      <c r="F189" s="353"/>
      <c r="G189" s="456"/>
      <c r="H189" s="455"/>
      <c r="I189" s="351"/>
      <c r="J189" s="433"/>
      <c r="K189" s="546"/>
      <c r="L189" s="351"/>
      <c r="M189" s="456"/>
      <c r="N189" s="353"/>
      <c r="O189" s="433"/>
    </row>
    <row r="190" ht="17.25" customHeight="1">
      <c r="A190" s="433"/>
      <c r="B190" s="456"/>
      <c r="C190" s="433"/>
      <c r="D190" s="433"/>
      <c r="E190" s="545"/>
      <c r="F190" s="353"/>
      <c r="G190" s="456"/>
      <c r="H190" s="455"/>
      <c r="I190" s="351"/>
      <c r="J190" s="433"/>
      <c r="K190" s="546"/>
      <c r="L190" s="351"/>
      <c r="M190" s="456"/>
      <c r="N190" s="353"/>
      <c r="O190" s="433"/>
    </row>
    <row r="191" ht="17.25" customHeight="1">
      <c r="A191" s="433"/>
      <c r="B191" s="456"/>
      <c r="C191" s="433"/>
      <c r="D191" s="433"/>
      <c r="E191" s="545"/>
      <c r="F191" s="353"/>
      <c r="G191" s="456"/>
      <c r="H191" s="455"/>
      <c r="I191" s="351"/>
      <c r="J191" s="433"/>
      <c r="K191" s="546"/>
      <c r="L191" s="351"/>
      <c r="M191" s="456"/>
      <c r="N191" s="353"/>
      <c r="O191" s="433"/>
    </row>
    <row r="192" ht="17.25" customHeight="1">
      <c r="A192" s="433"/>
      <c r="B192" s="456"/>
      <c r="C192" s="433"/>
      <c r="D192" s="433"/>
      <c r="E192" s="545"/>
      <c r="F192" s="353"/>
      <c r="G192" s="456"/>
      <c r="H192" s="455"/>
      <c r="I192" s="351"/>
      <c r="J192" s="433"/>
      <c r="K192" s="546"/>
      <c r="L192" s="351"/>
      <c r="M192" s="456"/>
      <c r="N192" s="353"/>
      <c r="O192" s="433"/>
    </row>
    <row r="193" ht="17.25" customHeight="1">
      <c r="A193" s="433"/>
      <c r="B193" s="456"/>
      <c r="C193" s="433"/>
      <c r="D193" s="433"/>
      <c r="E193" s="545"/>
      <c r="F193" s="353"/>
      <c r="G193" s="456"/>
      <c r="H193" s="455"/>
      <c r="I193" s="351"/>
      <c r="J193" s="433"/>
      <c r="K193" s="546"/>
      <c r="L193" s="351"/>
      <c r="M193" s="456"/>
      <c r="N193" s="353"/>
      <c r="O193" s="433"/>
    </row>
    <row r="194" ht="17.25" customHeight="1">
      <c r="A194" s="433"/>
      <c r="B194" s="456"/>
      <c r="C194" s="433"/>
      <c r="D194" s="433"/>
      <c r="E194" s="545"/>
      <c r="F194" s="353"/>
      <c r="G194" s="456"/>
      <c r="H194" s="455"/>
      <c r="I194" s="351"/>
      <c r="J194" s="433"/>
      <c r="K194" s="546"/>
      <c r="L194" s="351"/>
      <c r="M194" s="456"/>
      <c r="N194" s="353"/>
      <c r="O194" s="433"/>
    </row>
    <row r="195" ht="17.25" customHeight="1">
      <c r="A195" s="433"/>
      <c r="B195" s="456"/>
      <c r="C195" s="433"/>
      <c r="D195" s="433"/>
      <c r="E195" s="545"/>
      <c r="F195" s="353"/>
      <c r="G195" s="456"/>
      <c r="H195" s="455"/>
      <c r="I195" s="351"/>
      <c r="J195" s="433"/>
      <c r="K195" s="546"/>
      <c r="L195" s="351"/>
      <c r="M195" s="456"/>
      <c r="N195" s="353"/>
      <c r="O195" s="433"/>
    </row>
    <row r="196" ht="17.25" customHeight="1">
      <c r="A196" s="433"/>
      <c r="B196" s="456"/>
      <c r="C196" s="433"/>
      <c r="D196" s="433"/>
      <c r="E196" s="545"/>
      <c r="F196" s="353"/>
      <c r="G196" s="456"/>
      <c r="H196" s="455"/>
      <c r="I196" s="351"/>
      <c r="J196" s="433"/>
      <c r="K196" s="546"/>
      <c r="L196" s="351"/>
      <c r="M196" s="456"/>
      <c r="N196" s="353"/>
      <c r="O196" s="433"/>
    </row>
    <row r="197" ht="17.25" customHeight="1">
      <c r="A197" s="433"/>
      <c r="B197" s="456"/>
      <c r="C197" s="433"/>
      <c r="D197" s="433"/>
      <c r="E197" s="545"/>
      <c r="F197" s="353"/>
      <c r="G197" s="456"/>
      <c r="H197" s="455"/>
      <c r="I197" s="351"/>
      <c r="J197" s="433"/>
      <c r="K197" s="546"/>
      <c r="L197" s="351"/>
      <c r="M197" s="456"/>
      <c r="N197" s="353"/>
      <c r="O197" s="433"/>
    </row>
    <row r="198" ht="17.25" customHeight="1">
      <c r="A198" s="433"/>
      <c r="B198" s="456"/>
      <c r="C198" s="433"/>
      <c r="D198" s="433"/>
      <c r="E198" s="545"/>
      <c r="F198" s="353"/>
      <c r="G198" s="456"/>
      <c r="H198" s="455"/>
      <c r="I198" s="351"/>
      <c r="J198" s="433"/>
      <c r="K198" s="546"/>
      <c r="L198" s="351"/>
      <c r="M198" s="456"/>
      <c r="N198" s="353"/>
      <c r="O198" s="433"/>
    </row>
    <row r="199" ht="17.25" customHeight="1">
      <c r="A199" s="433"/>
      <c r="B199" s="456"/>
      <c r="C199" s="433"/>
      <c r="D199" s="433"/>
      <c r="E199" s="545"/>
      <c r="F199" s="353"/>
      <c r="G199" s="456"/>
      <c r="H199" s="455"/>
      <c r="I199" s="351"/>
      <c r="J199" s="433"/>
      <c r="K199" s="546"/>
      <c r="L199" s="351"/>
      <c r="M199" s="456"/>
      <c r="N199" s="353"/>
      <c r="O199" s="433"/>
    </row>
    <row r="200" ht="17.25" customHeight="1">
      <c r="A200" s="433"/>
      <c r="B200" s="456"/>
      <c r="C200" s="433"/>
      <c r="D200" s="433"/>
      <c r="E200" s="545"/>
      <c r="F200" s="353"/>
      <c r="G200" s="456"/>
      <c r="H200" s="455"/>
      <c r="I200" s="351"/>
      <c r="J200" s="433"/>
      <c r="K200" s="546"/>
      <c r="L200" s="351"/>
      <c r="M200" s="456"/>
      <c r="N200" s="353"/>
      <c r="O200" s="433"/>
    </row>
    <row r="201" ht="17.25" customHeight="1">
      <c r="A201" s="433"/>
      <c r="B201" s="456"/>
      <c r="C201" s="433"/>
      <c r="D201" s="433"/>
      <c r="E201" s="545"/>
      <c r="F201" s="353"/>
      <c r="G201" s="456"/>
      <c r="H201" s="455"/>
      <c r="I201" s="351"/>
      <c r="J201" s="433"/>
      <c r="K201" s="546"/>
      <c r="L201" s="351"/>
      <c r="M201" s="456"/>
      <c r="N201" s="353"/>
      <c r="O201" s="433"/>
    </row>
    <row r="202" ht="17.25" customHeight="1">
      <c r="A202" s="433"/>
      <c r="B202" s="456"/>
      <c r="C202" s="433"/>
      <c r="D202" s="433"/>
      <c r="E202" s="545"/>
      <c r="F202" s="353"/>
      <c r="G202" s="456"/>
      <c r="H202" s="455"/>
      <c r="I202" s="351"/>
      <c r="J202" s="433"/>
      <c r="K202" s="546"/>
      <c r="L202" s="351"/>
      <c r="M202" s="456"/>
      <c r="N202" s="353"/>
      <c r="O202" s="433"/>
    </row>
    <row r="203" ht="17.25" customHeight="1">
      <c r="A203" s="433"/>
      <c r="B203" s="456"/>
      <c r="C203" s="433"/>
      <c r="D203" s="433"/>
      <c r="E203" s="545"/>
      <c r="F203" s="353"/>
      <c r="G203" s="456"/>
      <c r="H203" s="455"/>
      <c r="I203" s="351"/>
      <c r="J203" s="433"/>
      <c r="K203" s="546"/>
      <c r="L203" s="351"/>
      <c r="M203" s="456"/>
      <c r="N203" s="353"/>
      <c r="O203" s="433"/>
    </row>
    <row r="204" ht="17.25" customHeight="1">
      <c r="A204" s="433"/>
      <c r="B204" s="456"/>
      <c r="C204" s="433"/>
      <c r="D204" s="433"/>
      <c r="E204" s="545"/>
      <c r="F204" s="353"/>
      <c r="G204" s="456"/>
      <c r="H204" s="455"/>
      <c r="I204" s="351"/>
      <c r="J204" s="433"/>
      <c r="K204" s="546"/>
      <c r="L204" s="351"/>
      <c r="M204" s="456"/>
      <c r="N204" s="353"/>
      <c r="O204" s="433"/>
    </row>
    <row r="205" ht="17.25" customHeight="1">
      <c r="A205" s="433"/>
      <c r="B205" s="456"/>
      <c r="C205" s="433"/>
      <c r="D205" s="433"/>
      <c r="E205" s="545"/>
      <c r="F205" s="353"/>
      <c r="G205" s="456"/>
      <c r="H205" s="455"/>
      <c r="I205" s="351"/>
      <c r="J205" s="433"/>
      <c r="K205" s="546"/>
      <c r="L205" s="351"/>
      <c r="M205" s="456"/>
      <c r="N205" s="353"/>
      <c r="O205" s="433"/>
    </row>
    <row r="206" ht="17.25" customHeight="1">
      <c r="A206" s="433"/>
      <c r="B206" s="456"/>
      <c r="C206" s="433"/>
      <c r="D206" s="433"/>
      <c r="E206" s="545"/>
      <c r="F206" s="353"/>
      <c r="G206" s="456"/>
      <c r="H206" s="455"/>
      <c r="I206" s="351"/>
      <c r="J206" s="433"/>
      <c r="K206" s="546"/>
      <c r="L206" s="351"/>
      <c r="M206" s="456"/>
      <c r="N206" s="353"/>
      <c r="O206" s="433"/>
    </row>
    <row r="207" ht="17.25" customHeight="1">
      <c r="A207" s="433"/>
      <c r="B207" s="456"/>
      <c r="C207" s="433"/>
      <c r="D207" s="433"/>
      <c r="E207" s="545"/>
      <c r="F207" s="353"/>
      <c r="G207" s="456"/>
      <c r="H207" s="455"/>
      <c r="I207" s="351"/>
      <c r="J207" s="433"/>
      <c r="K207" s="546"/>
      <c r="L207" s="351"/>
      <c r="M207" s="456"/>
      <c r="N207" s="353"/>
      <c r="O207" s="433"/>
    </row>
    <row r="208" ht="17.25" customHeight="1">
      <c r="A208" s="433"/>
      <c r="B208" s="456"/>
      <c r="C208" s="433"/>
      <c r="D208" s="433"/>
      <c r="E208" s="545"/>
      <c r="F208" s="353"/>
      <c r="G208" s="456"/>
      <c r="H208" s="455"/>
      <c r="I208" s="351"/>
      <c r="J208" s="433"/>
      <c r="K208" s="546"/>
      <c r="L208" s="351"/>
      <c r="M208" s="456"/>
      <c r="N208" s="353"/>
      <c r="O208" s="433"/>
    </row>
    <row r="209" ht="17.25" customHeight="1">
      <c r="A209" s="433"/>
      <c r="B209" s="456"/>
      <c r="C209" s="433"/>
      <c r="D209" s="433"/>
      <c r="E209" s="545"/>
      <c r="F209" s="353"/>
      <c r="G209" s="456"/>
      <c r="H209" s="455"/>
      <c r="I209" s="351"/>
      <c r="J209" s="433"/>
      <c r="K209" s="546"/>
      <c r="L209" s="351"/>
      <c r="M209" s="456"/>
      <c r="N209" s="353"/>
      <c r="O209" s="433"/>
    </row>
    <row r="210" ht="17.25" customHeight="1">
      <c r="A210" s="433"/>
      <c r="B210" s="456"/>
      <c r="C210" s="433"/>
      <c r="D210" s="433"/>
      <c r="E210" s="545"/>
      <c r="F210" s="353"/>
      <c r="G210" s="456"/>
      <c r="H210" s="455"/>
      <c r="I210" s="351"/>
      <c r="J210" s="433"/>
      <c r="K210" s="546"/>
      <c r="L210" s="351"/>
      <c r="M210" s="456"/>
      <c r="N210" s="353"/>
      <c r="O210" s="433"/>
    </row>
    <row r="211" ht="17.25" customHeight="1">
      <c r="A211" s="433"/>
      <c r="B211" s="456"/>
      <c r="C211" s="433"/>
      <c r="D211" s="433"/>
      <c r="E211" s="545"/>
      <c r="F211" s="353"/>
      <c r="G211" s="456"/>
      <c r="H211" s="455"/>
      <c r="I211" s="351"/>
      <c r="J211" s="433"/>
      <c r="K211" s="546"/>
      <c r="L211" s="351"/>
      <c r="M211" s="456"/>
      <c r="N211" s="353"/>
      <c r="O211" s="433"/>
    </row>
    <row r="212" ht="17.25" customHeight="1">
      <c r="A212" s="433"/>
      <c r="B212" s="456"/>
      <c r="C212" s="433"/>
      <c r="D212" s="433"/>
      <c r="E212" s="545"/>
      <c r="F212" s="353"/>
      <c r="G212" s="456"/>
      <c r="H212" s="455"/>
      <c r="I212" s="351"/>
      <c r="J212" s="433"/>
      <c r="K212" s="546"/>
      <c r="L212" s="351"/>
      <c r="M212" s="456"/>
      <c r="N212" s="353"/>
      <c r="O212" s="433"/>
    </row>
    <row r="213" ht="17.25" customHeight="1">
      <c r="A213" s="433"/>
      <c r="B213" s="456"/>
      <c r="C213" s="433"/>
      <c r="D213" s="433"/>
      <c r="E213" s="545"/>
      <c r="F213" s="353"/>
      <c r="G213" s="456"/>
      <c r="H213" s="455"/>
      <c r="I213" s="351"/>
      <c r="J213" s="433"/>
      <c r="K213" s="546"/>
      <c r="L213" s="351"/>
      <c r="M213" s="456"/>
      <c r="N213" s="353"/>
      <c r="O213" s="433"/>
    </row>
    <row r="214" ht="17.25" customHeight="1">
      <c r="A214" s="433"/>
      <c r="B214" s="456"/>
      <c r="C214" s="433"/>
      <c r="D214" s="433"/>
      <c r="E214" s="545"/>
      <c r="F214" s="353"/>
      <c r="G214" s="456"/>
      <c r="H214" s="455"/>
      <c r="I214" s="351"/>
      <c r="J214" s="433"/>
      <c r="K214" s="546"/>
      <c r="L214" s="351"/>
      <c r="M214" s="456"/>
      <c r="N214" s="353"/>
      <c r="O214" s="433"/>
    </row>
    <row r="215">
      <c r="A215" s="433"/>
      <c r="B215" s="456"/>
      <c r="C215" s="433"/>
      <c r="D215" s="433"/>
      <c r="E215" s="545"/>
      <c r="F215" s="353"/>
      <c r="G215" s="456"/>
      <c r="H215" s="455"/>
      <c r="I215" s="351"/>
      <c r="J215" s="433"/>
      <c r="K215" s="546"/>
      <c r="L215" s="351"/>
      <c r="M215" s="456"/>
      <c r="N215" s="353"/>
      <c r="O215" s="433"/>
    </row>
    <row r="216">
      <c r="A216" s="433"/>
      <c r="B216" s="456"/>
      <c r="C216" s="433"/>
      <c r="D216" s="433"/>
      <c r="E216" s="545"/>
      <c r="F216" s="353"/>
      <c r="G216" s="456"/>
      <c r="H216" s="455"/>
      <c r="I216" s="351"/>
      <c r="J216" s="433"/>
      <c r="K216" s="546"/>
      <c r="L216" s="351"/>
      <c r="M216" s="456"/>
      <c r="N216" s="353"/>
      <c r="O216" s="433"/>
    </row>
    <row r="217">
      <c r="A217" s="433"/>
      <c r="B217" s="456"/>
      <c r="C217" s="433"/>
      <c r="D217" s="433"/>
      <c r="E217" s="545"/>
      <c r="F217" s="353"/>
      <c r="G217" s="456"/>
      <c r="H217" s="455"/>
      <c r="I217" s="351"/>
      <c r="J217" s="433"/>
      <c r="K217" s="546"/>
      <c r="L217" s="351"/>
      <c r="M217" s="456"/>
      <c r="N217" s="353"/>
      <c r="O217" s="433"/>
    </row>
    <row r="218">
      <c r="A218" s="433"/>
      <c r="B218" s="456"/>
      <c r="C218" s="433"/>
      <c r="D218" s="433"/>
      <c r="E218" s="545"/>
      <c r="F218" s="353"/>
      <c r="G218" s="456"/>
      <c r="H218" s="455"/>
      <c r="I218" s="351"/>
      <c r="J218" s="433"/>
      <c r="K218" s="546"/>
      <c r="L218" s="351"/>
      <c r="M218" s="456"/>
      <c r="N218" s="353"/>
      <c r="O218" s="433"/>
    </row>
    <row r="219">
      <c r="A219" s="433"/>
      <c r="B219" s="456"/>
      <c r="C219" s="433"/>
      <c r="D219" s="433"/>
      <c r="E219" s="545"/>
      <c r="F219" s="353"/>
      <c r="G219" s="456"/>
      <c r="H219" s="455"/>
      <c r="I219" s="351"/>
      <c r="J219" s="433"/>
      <c r="K219" s="546"/>
      <c r="L219" s="351"/>
      <c r="M219" s="456"/>
      <c r="N219" s="353"/>
      <c r="O219" s="433"/>
    </row>
    <row r="220">
      <c r="A220" s="433"/>
      <c r="B220" s="456"/>
      <c r="C220" s="433"/>
      <c r="D220" s="433"/>
      <c r="E220" s="545"/>
      <c r="F220" s="353"/>
      <c r="G220" s="456"/>
      <c r="H220" s="455"/>
      <c r="I220" s="351"/>
      <c r="J220" s="433"/>
      <c r="K220" s="546"/>
      <c r="L220" s="351"/>
      <c r="M220" s="456"/>
      <c r="N220" s="353"/>
      <c r="O220" s="433"/>
    </row>
    <row r="221">
      <c r="A221" s="433"/>
      <c r="B221" s="456"/>
      <c r="C221" s="433"/>
      <c r="D221" s="433"/>
      <c r="E221" s="545"/>
      <c r="F221" s="353"/>
      <c r="G221" s="456"/>
      <c r="H221" s="455"/>
      <c r="I221" s="351"/>
      <c r="J221" s="433"/>
      <c r="K221" s="546"/>
      <c r="L221" s="351"/>
      <c r="M221" s="456"/>
      <c r="N221" s="353"/>
      <c r="O221" s="433"/>
    </row>
    <row r="222">
      <c r="A222" s="433"/>
      <c r="B222" s="456"/>
      <c r="C222" s="433"/>
      <c r="D222" s="433"/>
      <c r="E222" s="545"/>
      <c r="F222" s="353"/>
      <c r="G222" s="456"/>
      <c r="H222" s="455"/>
      <c r="I222" s="351"/>
      <c r="J222" s="433"/>
      <c r="K222" s="546"/>
      <c r="L222" s="351"/>
      <c r="M222" s="456"/>
      <c r="N222" s="353"/>
      <c r="O222" s="433"/>
    </row>
    <row r="223">
      <c r="A223" s="433"/>
      <c r="B223" s="456"/>
      <c r="C223" s="433"/>
      <c r="D223" s="433"/>
      <c r="E223" s="545"/>
      <c r="F223" s="353"/>
      <c r="G223" s="456"/>
      <c r="H223" s="455"/>
      <c r="I223" s="351"/>
      <c r="J223" s="433"/>
      <c r="K223" s="546"/>
      <c r="L223" s="351"/>
      <c r="M223" s="456"/>
      <c r="N223" s="353"/>
      <c r="O223" s="433"/>
    </row>
    <row r="224">
      <c r="A224" s="433"/>
      <c r="B224" s="456"/>
      <c r="C224" s="433"/>
      <c r="D224" s="433"/>
      <c r="E224" s="545"/>
      <c r="F224" s="353"/>
      <c r="G224" s="456"/>
      <c r="H224" s="455"/>
      <c r="I224" s="351"/>
      <c r="J224" s="433"/>
      <c r="K224" s="546"/>
      <c r="L224" s="351"/>
      <c r="M224" s="456"/>
      <c r="N224" s="353"/>
      <c r="O224" s="433"/>
    </row>
    <row r="225">
      <c r="A225" s="433"/>
      <c r="B225" s="456"/>
      <c r="C225" s="433"/>
      <c r="D225" s="433"/>
      <c r="E225" s="545"/>
      <c r="F225" s="353"/>
      <c r="G225" s="456"/>
      <c r="H225" s="455"/>
      <c r="I225" s="351"/>
      <c r="J225" s="433"/>
      <c r="K225" s="546"/>
      <c r="L225" s="351"/>
      <c r="M225" s="456"/>
      <c r="N225" s="353"/>
      <c r="O225" s="433"/>
    </row>
    <row r="226">
      <c r="A226" s="433"/>
      <c r="B226" s="456"/>
      <c r="C226" s="433"/>
      <c r="D226" s="433"/>
      <c r="E226" s="545"/>
      <c r="F226" s="353"/>
      <c r="G226" s="456"/>
      <c r="H226" s="455"/>
      <c r="I226" s="351"/>
      <c r="J226" s="433"/>
      <c r="K226" s="546"/>
      <c r="L226" s="351"/>
      <c r="M226" s="456"/>
      <c r="N226" s="353"/>
      <c r="O226" s="433"/>
    </row>
    <row r="227">
      <c r="A227" s="433"/>
      <c r="B227" s="456"/>
      <c r="C227" s="433"/>
      <c r="D227" s="433"/>
      <c r="E227" s="545"/>
      <c r="F227" s="353"/>
      <c r="G227" s="456"/>
      <c r="H227" s="455"/>
      <c r="I227" s="351"/>
      <c r="J227" s="433"/>
      <c r="K227" s="546"/>
      <c r="L227" s="351"/>
      <c r="M227" s="456"/>
      <c r="N227" s="353"/>
      <c r="O227" s="433"/>
    </row>
    <row r="228">
      <c r="A228" s="433"/>
      <c r="B228" s="456"/>
      <c r="C228" s="433"/>
      <c r="D228" s="433"/>
      <c r="E228" s="545"/>
      <c r="F228" s="353"/>
      <c r="G228" s="456"/>
      <c r="H228" s="455"/>
      <c r="I228" s="351"/>
      <c r="J228" s="433"/>
      <c r="K228" s="546"/>
      <c r="L228" s="351"/>
      <c r="M228" s="456"/>
      <c r="N228" s="353"/>
      <c r="O228" s="433"/>
    </row>
    <row r="229">
      <c r="A229" s="433"/>
      <c r="B229" s="456"/>
      <c r="C229" s="433"/>
      <c r="D229" s="433"/>
      <c r="E229" s="545"/>
      <c r="F229" s="353"/>
      <c r="G229" s="456"/>
      <c r="H229" s="455"/>
      <c r="I229" s="351"/>
      <c r="J229" s="433"/>
      <c r="K229" s="546"/>
      <c r="L229" s="351"/>
      <c r="M229" s="456"/>
      <c r="N229" s="353"/>
      <c r="O229" s="433"/>
    </row>
    <row r="230">
      <c r="A230" s="433"/>
      <c r="B230" s="456"/>
      <c r="C230" s="433"/>
      <c r="D230" s="433"/>
      <c r="E230" s="545"/>
      <c r="F230" s="353"/>
      <c r="G230" s="456"/>
      <c r="H230" s="455"/>
      <c r="I230" s="351"/>
      <c r="J230" s="433"/>
      <c r="K230" s="546"/>
      <c r="L230" s="351"/>
      <c r="M230" s="456"/>
      <c r="N230" s="353"/>
      <c r="O230" s="433"/>
    </row>
    <row r="231">
      <c r="A231" s="433"/>
      <c r="B231" s="456"/>
      <c r="C231" s="433"/>
      <c r="D231" s="433"/>
      <c r="E231" s="545"/>
      <c r="F231" s="353"/>
      <c r="G231" s="456"/>
      <c r="H231" s="455"/>
      <c r="I231" s="351"/>
      <c r="J231" s="433"/>
      <c r="K231" s="546"/>
      <c r="L231" s="351"/>
      <c r="M231" s="456"/>
      <c r="N231" s="353"/>
      <c r="O231" s="433"/>
    </row>
    <row r="232">
      <c r="A232" s="433"/>
      <c r="B232" s="456"/>
      <c r="C232" s="433"/>
      <c r="D232" s="433"/>
      <c r="E232" s="545"/>
      <c r="F232" s="353"/>
      <c r="G232" s="456"/>
      <c r="H232" s="455"/>
      <c r="I232" s="351"/>
      <c r="J232" s="433"/>
      <c r="K232" s="546"/>
      <c r="L232" s="351"/>
      <c r="M232" s="456"/>
      <c r="N232" s="353"/>
      <c r="O232" s="433"/>
    </row>
    <row r="233">
      <c r="A233" s="433"/>
      <c r="B233" s="456"/>
      <c r="C233" s="433"/>
      <c r="D233" s="433"/>
      <c r="E233" s="545"/>
      <c r="F233" s="353"/>
      <c r="G233" s="456"/>
      <c r="H233" s="455"/>
      <c r="I233" s="351"/>
      <c r="J233" s="433"/>
      <c r="K233" s="546"/>
      <c r="L233" s="351"/>
      <c r="M233" s="456"/>
      <c r="N233" s="353"/>
      <c r="O233" s="433"/>
    </row>
    <row r="234">
      <c r="A234" s="433"/>
      <c r="B234" s="456"/>
      <c r="C234" s="433"/>
      <c r="D234" s="433"/>
      <c r="E234" s="545"/>
      <c r="F234" s="353"/>
      <c r="G234" s="456"/>
      <c r="H234" s="455"/>
      <c r="I234" s="351"/>
      <c r="J234" s="433"/>
      <c r="K234" s="546"/>
      <c r="L234" s="351"/>
      <c r="M234" s="456"/>
      <c r="N234" s="353"/>
      <c r="O234" s="433"/>
    </row>
    <row r="235">
      <c r="A235" s="433"/>
      <c r="B235" s="456"/>
      <c r="C235" s="433"/>
      <c r="D235" s="433"/>
      <c r="E235" s="545"/>
      <c r="F235" s="353"/>
      <c r="G235" s="456"/>
      <c r="H235" s="455"/>
      <c r="I235" s="351"/>
      <c r="J235" s="433"/>
      <c r="K235" s="546"/>
      <c r="L235" s="351"/>
      <c r="M235" s="456"/>
      <c r="N235" s="353"/>
      <c r="O235" s="433"/>
    </row>
    <row r="236">
      <c r="A236" s="433"/>
      <c r="B236" s="456"/>
      <c r="C236" s="433"/>
      <c r="D236" s="433"/>
      <c r="E236" s="545"/>
      <c r="F236" s="353"/>
      <c r="G236" s="456"/>
      <c r="H236" s="455"/>
      <c r="I236" s="351"/>
      <c r="J236" s="433"/>
      <c r="K236" s="546"/>
      <c r="L236" s="351"/>
      <c r="M236" s="456"/>
      <c r="N236" s="353"/>
      <c r="O236" s="433"/>
    </row>
    <row r="237">
      <c r="A237" s="433"/>
      <c r="B237" s="456"/>
      <c r="C237" s="433"/>
      <c r="D237" s="433"/>
      <c r="E237" s="545"/>
      <c r="F237" s="353"/>
      <c r="G237" s="456"/>
      <c r="H237" s="455"/>
      <c r="I237" s="351"/>
      <c r="J237" s="433"/>
      <c r="K237" s="546"/>
      <c r="L237" s="351"/>
      <c r="M237" s="456"/>
      <c r="N237" s="353"/>
      <c r="O237" s="433"/>
    </row>
    <row r="238">
      <c r="A238" s="433"/>
      <c r="B238" s="456"/>
      <c r="C238" s="433"/>
      <c r="D238" s="433"/>
      <c r="E238" s="545"/>
      <c r="F238" s="353"/>
      <c r="G238" s="456"/>
      <c r="H238" s="455"/>
      <c r="I238" s="351"/>
      <c r="J238" s="433"/>
      <c r="K238" s="546"/>
      <c r="L238" s="351"/>
      <c r="M238" s="456"/>
      <c r="N238" s="353"/>
      <c r="O238" s="433"/>
    </row>
    <row r="239">
      <c r="A239" s="433"/>
      <c r="B239" s="456"/>
      <c r="C239" s="433"/>
      <c r="D239" s="433"/>
      <c r="E239" s="545"/>
      <c r="F239" s="353"/>
      <c r="G239" s="456"/>
      <c r="H239" s="455"/>
      <c r="I239" s="351"/>
      <c r="J239" s="433"/>
      <c r="K239" s="546"/>
      <c r="L239" s="351"/>
      <c r="M239" s="456"/>
      <c r="N239" s="353"/>
      <c r="O239" s="433"/>
    </row>
    <row r="240">
      <c r="A240" s="433"/>
      <c r="B240" s="456"/>
      <c r="C240" s="433"/>
      <c r="D240" s="433"/>
      <c r="E240" s="545"/>
      <c r="F240" s="353"/>
      <c r="G240" s="456"/>
      <c r="H240" s="455"/>
      <c r="I240" s="351"/>
      <c r="J240" s="433"/>
      <c r="K240" s="546"/>
      <c r="L240" s="351"/>
      <c r="M240" s="456"/>
      <c r="N240" s="353"/>
      <c r="O240" s="433"/>
    </row>
    <row r="241">
      <c r="A241" s="433"/>
      <c r="B241" s="456"/>
      <c r="C241" s="433"/>
      <c r="D241" s="433"/>
      <c r="E241" s="545"/>
      <c r="F241" s="353"/>
      <c r="G241" s="456"/>
      <c r="H241" s="455"/>
      <c r="I241" s="351"/>
      <c r="J241" s="433"/>
      <c r="K241" s="546"/>
      <c r="L241" s="351"/>
      <c r="M241" s="456"/>
      <c r="N241" s="353"/>
      <c r="O241" s="433"/>
    </row>
    <row r="242">
      <c r="A242" s="433"/>
      <c r="B242" s="456"/>
      <c r="C242" s="433"/>
      <c r="D242" s="433"/>
      <c r="E242" s="545"/>
      <c r="F242" s="353"/>
      <c r="G242" s="456"/>
      <c r="H242" s="455"/>
      <c r="I242" s="351"/>
      <c r="J242" s="433"/>
      <c r="K242" s="546"/>
      <c r="L242" s="351"/>
      <c r="M242" s="456"/>
      <c r="N242" s="353"/>
      <c r="O242" s="433"/>
    </row>
    <row r="243">
      <c r="A243" s="433"/>
      <c r="B243" s="456"/>
      <c r="C243" s="433"/>
      <c r="D243" s="433"/>
      <c r="E243" s="545"/>
      <c r="F243" s="353"/>
      <c r="G243" s="456"/>
      <c r="H243" s="455"/>
      <c r="I243" s="351"/>
      <c r="J243" s="433"/>
      <c r="K243" s="546"/>
      <c r="L243" s="351"/>
      <c r="M243" s="456"/>
      <c r="N243" s="353"/>
      <c r="O243" s="433"/>
    </row>
    <row r="244">
      <c r="A244" s="433"/>
      <c r="B244" s="456"/>
      <c r="C244" s="433"/>
      <c r="D244" s="433"/>
      <c r="E244" s="545"/>
      <c r="F244" s="353"/>
      <c r="G244" s="456"/>
      <c r="H244" s="455"/>
      <c r="I244" s="351"/>
      <c r="J244" s="433"/>
      <c r="K244" s="546"/>
      <c r="L244" s="351"/>
      <c r="M244" s="456"/>
      <c r="N244" s="353"/>
      <c r="O244" s="433"/>
    </row>
    <row r="245">
      <c r="A245" s="433"/>
      <c r="B245" s="456"/>
      <c r="C245" s="433"/>
      <c r="D245" s="433"/>
      <c r="E245" s="545"/>
      <c r="F245" s="353"/>
      <c r="G245" s="456"/>
      <c r="H245" s="455"/>
      <c r="I245" s="351"/>
      <c r="J245" s="433"/>
      <c r="K245" s="546"/>
      <c r="L245" s="351"/>
      <c r="M245" s="456"/>
      <c r="N245" s="353"/>
      <c r="O245" s="433"/>
    </row>
    <row r="246">
      <c r="A246" s="433"/>
      <c r="B246" s="456"/>
      <c r="C246" s="433"/>
      <c r="D246" s="433"/>
      <c r="E246" s="545"/>
      <c r="F246" s="353"/>
      <c r="G246" s="456"/>
      <c r="H246" s="455"/>
      <c r="I246" s="351"/>
      <c r="J246" s="433"/>
      <c r="K246" s="546"/>
      <c r="L246" s="351"/>
      <c r="M246" s="456"/>
      <c r="N246" s="353"/>
      <c r="O246" s="433"/>
    </row>
    <row r="247">
      <c r="A247" s="433"/>
      <c r="B247" s="456"/>
      <c r="C247" s="433"/>
      <c r="D247" s="433"/>
      <c r="E247" s="545"/>
      <c r="F247" s="353"/>
      <c r="G247" s="456"/>
      <c r="H247" s="455"/>
      <c r="I247" s="351"/>
      <c r="J247" s="433"/>
      <c r="K247" s="546"/>
      <c r="L247" s="351"/>
      <c r="M247" s="456"/>
      <c r="N247" s="353"/>
      <c r="O247" s="433"/>
    </row>
    <row r="248">
      <c r="A248" s="433"/>
      <c r="B248" s="456"/>
      <c r="C248" s="433"/>
      <c r="D248" s="433"/>
      <c r="E248" s="545"/>
      <c r="F248" s="353"/>
      <c r="G248" s="456"/>
      <c r="H248" s="455"/>
      <c r="I248" s="351"/>
      <c r="J248" s="433"/>
      <c r="K248" s="546"/>
      <c r="L248" s="351"/>
      <c r="M248" s="456"/>
      <c r="N248" s="353"/>
      <c r="O248" s="433"/>
    </row>
    <row r="249">
      <c r="A249" s="433"/>
      <c r="B249" s="456"/>
      <c r="C249" s="433"/>
      <c r="D249" s="433"/>
      <c r="E249" s="545"/>
      <c r="F249" s="353"/>
      <c r="G249" s="456"/>
      <c r="H249" s="455"/>
      <c r="I249" s="351"/>
      <c r="J249" s="433"/>
      <c r="K249" s="546"/>
      <c r="L249" s="351"/>
      <c r="M249" s="456"/>
      <c r="N249" s="353"/>
      <c r="O249" s="433"/>
    </row>
    <row r="250">
      <c r="A250" s="433"/>
      <c r="B250" s="456"/>
      <c r="C250" s="433"/>
      <c r="D250" s="433"/>
      <c r="E250" s="545"/>
      <c r="F250" s="353"/>
      <c r="G250" s="456"/>
      <c r="H250" s="455"/>
      <c r="I250" s="351"/>
      <c r="J250" s="433"/>
      <c r="K250" s="546"/>
      <c r="L250" s="351"/>
      <c r="M250" s="456"/>
      <c r="N250" s="353"/>
      <c r="O250" s="433"/>
    </row>
    <row r="251">
      <c r="A251" s="433"/>
      <c r="B251" s="456"/>
      <c r="C251" s="433"/>
      <c r="D251" s="433"/>
      <c r="E251" s="545"/>
      <c r="F251" s="353"/>
      <c r="G251" s="456"/>
      <c r="H251" s="455"/>
      <c r="I251" s="351"/>
      <c r="J251" s="433"/>
      <c r="K251" s="546"/>
      <c r="L251" s="351"/>
      <c r="M251" s="456"/>
      <c r="N251" s="353"/>
      <c r="O251" s="433"/>
    </row>
    <row r="252">
      <c r="A252" s="433"/>
      <c r="B252" s="456"/>
      <c r="C252" s="433"/>
      <c r="D252" s="433"/>
      <c r="E252" s="545"/>
      <c r="F252" s="353"/>
      <c r="G252" s="456"/>
      <c r="H252" s="455"/>
      <c r="I252" s="351"/>
      <c r="J252" s="433"/>
      <c r="K252" s="546"/>
      <c r="L252" s="351"/>
      <c r="M252" s="456"/>
      <c r="N252" s="353"/>
      <c r="O252" s="433"/>
    </row>
    <row r="253">
      <c r="A253" s="433"/>
      <c r="B253" s="456"/>
      <c r="C253" s="433"/>
      <c r="D253" s="433"/>
      <c r="E253" s="545"/>
      <c r="F253" s="353"/>
      <c r="G253" s="456"/>
      <c r="H253" s="455"/>
      <c r="I253" s="351"/>
      <c r="J253" s="433"/>
      <c r="K253" s="546"/>
      <c r="L253" s="351"/>
      <c r="M253" s="456"/>
      <c r="N253" s="353"/>
      <c r="O253" s="433"/>
    </row>
    <row r="254">
      <c r="A254" s="433"/>
      <c r="B254" s="456"/>
      <c r="C254" s="433"/>
      <c r="D254" s="433"/>
      <c r="E254" s="545"/>
      <c r="F254" s="353"/>
      <c r="G254" s="456"/>
      <c r="H254" s="455"/>
      <c r="I254" s="351"/>
      <c r="J254" s="433"/>
      <c r="K254" s="546"/>
      <c r="L254" s="351"/>
      <c r="M254" s="456"/>
      <c r="N254" s="353"/>
      <c r="O254" s="433"/>
    </row>
    <row r="255">
      <c r="A255" s="433"/>
      <c r="B255" s="456"/>
      <c r="C255" s="433"/>
      <c r="D255" s="433"/>
      <c r="E255" s="545"/>
      <c r="F255" s="353"/>
      <c r="G255" s="456"/>
      <c r="H255" s="455"/>
      <c r="I255" s="351"/>
      <c r="J255" s="433"/>
      <c r="K255" s="546"/>
      <c r="L255" s="351"/>
      <c r="M255" s="456"/>
      <c r="N255" s="353"/>
      <c r="O255" s="433"/>
    </row>
    <row r="256">
      <c r="A256" s="433"/>
      <c r="B256" s="456"/>
      <c r="C256" s="433"/>
      <c r="D256" s="433"/>
      <c r="E256" s="545"/>
      <c r="F256" s="353"/>
      <c r="G256" s="456"/>
      <c r="H256" s="455"/>
      <c r="I256" s="351"/>
      <c r="J256" s="433"/>
      <c r="K256" s="546"/>
      <c r="L256" s="351"/>
      <c r="M256" s="456"/>
      <c r="N256" s="353"/>
      <c r="O256" s="433"/>
    </row>
    <row r="257">
      <c r="A257" s="433"/>
      <c r="B257" s="456"/>
      <c r="C257" s="433"/>
      <c r="D257" s="433"/>
      <c r="E257" s="545"/>
      <c r="F257" s="353"/>
      <c r="G257" s="456"/>
      <c r="H257" s="455"/>
      <c r="I257" s="351"/>
      <c r="J257" s="433"/>
      <c r="K257" s="546"/>
      <c r="L257" s="351"/>
      <c r="M257" s="456"/>
      <c r="N257" s="353"/>
      <c r="O257" s="433"/>
    </row>
    <row r="258">
      <c r="A258" s="433"/>
      <c r="B258" s="456"/>
      <c r="C258" s="433"/>
      <c r="D258" s="433"/>
      <c r="E258" s="545"/>
      <c r="F258" s="353"/>
      <c r="G258" s="456"/>
      <c r="H258" s="455"/>
      <c r="I258" s="351"/>
      <c r="J258" s="433"/>
      <c r="K258" s="546"/>
      <c r="L258" s="351"/>
      <c r="M258" s="456"/>
      <c r="N258" s="353"/>
      <c r="O258" s="433"/>
    </row>
    <row r="259">
      <c r="A259" s="433"/>
      <c r="B259" s="456"/>
      <c r="C259" s="433"/>
      <c r="D259" s="433"/>
      <c r="E259" s="545"/>
      <c r="F259" s="353"/>
      <c r="G259" s="456"/>
      <c r="H259" s="455"/>
      <c r="I259" s="351"/>
      <c r="J259" s="433"/>
      <c r="K259" s="546"/>
      <c r="L259" s="351"/>
      <c r="M259" s="456"/>
      <c r="N259" s="353"/>
      <c r="O259" s="433"/>
    </row>
    <row r="260">
      <c r="A260" s="433"/>
      <c r="B260" s="456"/>
      <c r="C260" s="433"/>
      <c r="D260" s="433"/>
      <c r="E260" s="545"/>
      <c r="F260" s="353"/>
      <c r="G260" s="456"/>
      <c r="H260" s="455"/>
      <c r="I260" s="351"/>
      <c r="J260" s="433"/>
      <c r="K260" s="546"/>
      <c r="L260" s="351"/>
      <c r="M260" s="456"/>
      <c r="N260" s="353"/>
      <c r="O260" s="433"/>
    </row>
    <row r="261">
      <c r="A261" s="433"/>
      <c r="B261" s="456"/>
      <c r="C261" s="433"/>
      <c r="D261" s="433"/>
      <c r="E261" s="545"/>
      <c r="F261" s="353"/>
      <c r="G261" s="456"/>
      <c r="H261" s="455"/>
      <c r="I261" s="351"/>
      <c r="J261" s="433"/>
      <c r="K261" s="546"/>
      <c r="L261" s="351"/>
      <c r="M261" s="456"/>
      <c r="N261" s="353"/>
      <c r="O261" s="433"/>
    </row>
    <row r="262">
      <c r="A262" s="433"/>
      <c r="B262" s="456"/>
      <c r="C262" s="433"/>
      <c r="D262" s="433"/>
      <c r="E262" s="545"/>
      <c r="F262" s="353"/>
      <c r="G262" s="456"/>
      <c r="H262" s="455"/>
      <c r="I262" s="351"/>
      <c r="J262" s="433"/>
      <c r="K262" s="546"/>
      <c r="L262" s="351"/>
      <c r="M262" s="456"/>
      <c r="N262" s="353"/>
      <c r="O262" s="433"/>
    </row>
    <row r="263">
      <c r="A263" s="433"/>
      <c r="B263" s="456"/>
      <c r="C263" s="433"/>
      <c r="D263" s="433"/>
      <c r="E263" s="545"/>
      <c r="F263" s="353"/>
      <c r="G263" s="456"/>
      <c r="H263" s="455"/>
      <c r="I263" s="351"/>
      <c r="J263" s="433"/>
      <c r="K263" s="546"/>
      <c r="L263" s="351"/>
      <c r="M263" s="456"/>
      <c r="N263" s="353"/>
      <c r="O263" s="433"/>
    </row>
    <row r="264">
      <c r="A264" s="433"/>
      <c r="B264" s="456"/>
      <c r="C264" s="433"/>
      <c r="D264" s="433"/>
      <c r="E264" s="545"/>
      <c r="F264" s="353"/>
      <c r="G264" s="456"/>
      <c r="H264" s="455"/>
      <c r="I264" s="351"/>
      <c r="J264" s="433"/>
      <c r="K264" s="546"/>
      <c r="L264" s="351"/>
      <c r="M264" s="456"/>
      <c r="N264" s="353"/>
      <c r="O264" s="433"/>
    </row>
    <row r="265">
      <c r="A265" s="433"/>
      <c r="B265" s="456"/>
      <c r="C265" s="433"/>
      <c r="D265" s="433"/>
      <c r="E265" s="545"/>
      <c r="F265" s="353"/>
      <c r="G265" s="456"/>
      <c r="H265" s="455"/>
      <c r="I265" s="351"/>
      <c r="J265" s="433"/>
      <c r="K265" s="546"/>
      <c r="L265" s="351"/>
      <c r="M265" s="456"/>
      <c r="N265" s="353"/>
      <c r="O265" s="433"/>
    </row>
    <row r="266">
      <c r="A266" s="433"/>
      <c r="B266" s="456"/>
      <c r="C266" s="433"/>
      <c r="D266" s="433"/>
      <c r="E266" s="545"/>
      <c r="F266" s="353"/>
      <c r="G266" s="456"/>
      <c r="H266" s="455"/>
      <c r="I266" s="351"/>
      <c r="J266" s="433"/>
      <c r="K266" s="546"/>
      <c r="L266" s="351"/>
      <c r="M266" s="456"/>
      <c r="N266" s="353"/>
      <c r="O266" s="433"/>
    </row>
    <row r="267">
      <c r="A267" s="433"/>
      <c r="B267" s="456"/>
      <c r="C267" s="433"/>
      <c r="D267" s="433"/>
      <c r="E267" s="545"/>
      <c r="F267" s="353"/>
      <c r="G267" s="456"/>
      <c r="H267" s="455"/>
      <c r="I267" s="351"/>
      <c r="J267" s="433"/>
      <c r="K267" s="546"/>
      <c r="L267" s="351"/>
      <c r="M267" s="456"/>
      <c r="N267" s="353"/>
      <c r="O267" s="433"/>
    </row>
    <row r="268">
      <c r="A268" s="433"/>
      <c r="B268" s="456"/>
      <c r="C268" s="433"/>
      <c r="D268" s="433"/>
      <c r="E268" s="545"/>
      <c r="F268" s="353"/>
      <c r="G268" s="456"/>
      <c r="H268" s="455"/>
      <c r="I268" s="351"/>
      <c r="J268" s="433"/>
      <c r="K268" s="546"/>
      <c r="L268" s="351"/>
      <c r="M268" s="456"/>
      <c r="N268" s="353"/>
      <c r="O268" s="433"/>
    </row>
    <row r="269">
      <c r="A269" s="433"/>
      <c r="B269" s="456"/>
      <c r="C269" s="433"/>
      <c r="D269" s="433"/>
      <c r="E269" s="545"/>
      <c r="F269" s="353"/>
      <c r="G269" s="456"/>
      <c r="H269" s="455"/>
      <c r="I269" s="351"/>
      <c r="J269" s="433"/>
      <c r="K269" s="546"/>
      <c r="L269" s="351"/>
      <c r="M269" s="456"/>
      <c r="N269" s="353"/>
      <c r="O269" s="433"/>
    </row>
    <row r="270">
      <c r="A270" s="433"/>
      <c r="B270" s="456"/>
      <c r="C270" s="433"/>
      <c r="D270" s="433"/>
      <c r="E270" s="545"/>
      <c r="F270" s="353"/>
      <c r="G270" s="456"/>
      <c r="H270" s="455"/>
      <c r="I270" s="351"/>
      <c r="J270" s="433"/>
      <c r="K270" s="546"/>
      <c r="L270" s="351"/>
      <c r="M270" s="456"/>
      <c r="N270" s="353"/>
      <c r="O270" s="433"/>
    </row>
    <row r="271">
      <c r="A271" s="433"/>
      <c r="B271" s="456"/>
      <c r="C271" s="433"/>
      <c r="D271" s="433"/>
      <c r="E271" s="545"/>
      <c r="F271" s="353"/>
      <c r="G271" s="456"/>
      <c r="H271" s="455"/>
      <c r="I271" s="351"/>
      <c r="J271" s="433"/>
      <c r="K271" s="546"/>
      <c r="L271" s="351"/>
      <c r="M271" s="456"/>
      <c r="N271" s="353"/>
      <c r="O271" s="433"/>
    </row>
    <row r="272">
      <c r="A272" s="433"/>
      <c r="B272" s="456"/>
      <c r="C272" s="433"/>
      <c r="D272" s="433"/>
      <c r="E272" s="545"/>
      <c r="F272" s="353"/>
      <c r="G272" s="456"/>
      <c r="H272" s="455"/>
      <c r="I272" s="351"/>
      <c r="J272" s="433"/>
      <c r="K272" s="546"/>
      <c r="L272" s="351"/>
      <c r="M272" s="456"/>
      <c r="N272" s="353"/>
      <c r="O272" s="433"/>
    </row>
    <row r="273">
      <c r="A273" s="433"/>
      <c r="B273" s="456"/>
      <c r="C273" s="433"/>
      <c r="D273" s="433"/>
      <c r="E273" s="545"/>
      <c r="F273" s="353"/>
      <c r="G273" s="456"/>
      <c r="H273" s="455"/>
      <c r="I273" s="351"/>
      <c r="J273" s="433"/>
      <c r="K273" s="546"/>
      <c r="L273" s="351"/>
      <c r="M273" s="456"/>
      <c r="N273" s="353"/>
      <c r="O273" s="433"/>
    </row>
    <row r="274">
      <c r="A274" s="433"/>
      <c r="B274" s="456"/>
      <c r="C274" s="433"/>
      <c r="D274" s="433"/>
      <c r="E274" s="545"/>
      <c r="F274" s="353"/>
      <c r="G274" s="456"/>
      <c r="H274" s="455"/>
      <c r="I274" s="351"/>
      <c r="J274" s="433"/>
      <c r="K274" s="546"/>
      <c r="L274" s="351"/>
      <c r="M274" s="456"/>
      <c r="N274" s="353"/>
      <c r="O274" s="433"/>
    </row>
    <row r="275">
      <c r="A275" s="433"/>
      <c r="B275" s="456"/>
      <c r="C275" s="433"/>
      <c r="D275" s="433"/>
      <c r="E275" s="545"/>
      <c r="F275" s="353"/>
      <c r="G275" s="456"/>
      <c r="H275" s="455"/>
      <c r="I275" s="351"/>
      <c r="J275" s="433"/>
      <c r="K275" s="546"/>
      <c r="L275" s="351"/>
      <c r="M275" s="456"/>
      <c r="N275" s="353"/>
      <c r="O275" s="433"/>
    </row>
    <row r="276">
      <c r="A276" s="433"/>
      <c r="B276" s="456"/>
      <c r="C276" s="433"/>
      <c r="D276" s="433"/>
      <c r="E276" s="545"/>
      <c r="F276" s="353"/>
      <c r="G276" s="456"/>
      <c r="H276" s="455"/>
      <c r="I276" s="351"/>
      <c r="J276" s="433"/>
      <c r="K276" s="546"/>
      <c r="L276" s="351"/>
      <c r="M276" s="456"/>
      <c r="N276" s="353"/>
      <c r="O276" s="433"/>
    </row>
    <row r="277">
      <c r="A277" s="433"/>
      <c r="B277" s="456"/>
      <c r="C277" s="433"/>
      <c r="D277" s="433"/>
      <c r="E277" s="545"/>
      <c r="F277" s="353"/>
      <c r="G277" s="456"/>
      <c r="H277" s="455"/>
      <c r="I277" s="351"/>
      <c r="J277" s="433"/>
      <c r="K277" s="546"/>
      <c r="L277" s="351"/>
      <c r="M277" s="456"/>
      <c r="N277" s="353"/>
      <c r="O277" s="433"/>
    </row>
    <row r="278">
      <c r="A278" s="433"/>
      <c r="B278" s="456"/>
      <c r="C278" s="433"/>
      <c r="D278" s="433"/>
      <c r="E278" s="545"/>
      <c r="F278" s="353"/>
      <c r="G278" s="456"/>
      <c r="H278" s="455"/>
      <c r="I278" s="351"/>
      <c r="J278" s="433"/>
      <c r="K278" s="546"/>
      <c r="L278" s="351"/>
      <c r="M278" s="456"/>
      <c r="N278" s="353"/>
      <c r="O278" s="433"/>
    </row>
    <row r="279">
      <c r="A279" s="433"/>
      <c r="B279" s="456"/>
      <c r="C279" s="433"/>
      <c r="D279" s="433"/>
      <c r="E279" s="545"/>
      <c r="F279" s="353"/>
      <c r="G279" s="456"/>
      <c r="H279" s="455"/>
      <c r="I279" s="351"/>
      <c r="J279" s="433"/>
      <c r="K279" s="546"/>
      <c r="L279" s="351"/>
      <c r="M279" s="456"/>
      <c r="N279" s="353"/>
      <c r="O279" s="433"/>
    </row>
    <row r="280">
      <c r="A280" s="433"/>
      <c r="B280" s="456"/>
      <c r="C280" s="433"/>
      <c r="D280" s="433"/>
      <c r="E280" s="545"/>
      <c r="F280" s="353"/>
      <c r="G280" s="456"/>
      <c r="H280" s="455"/>
      <c r="I280" s="351"/>
      <c r="J280" s="433"/>
      <c r="K280" s="546"/>
      <c r="L280" s="351"/>
      <c r="M280" s="456"/>
      <c r="N280" s="353"/>
      <c r="O280" s="433"/>
    </row>
    <row r="281">
      <c r="A281" s="433"/>
      <c r="B281" s="456"/>
      <c r="C281" s="433"/>
      <c r="D281" s="433"/>
      <c r="E281" s="545"/>
      <c r="F281" s="353"/>
      <c r="G281" s="456"/>
      <c r="H281" s="455"/>
      <c r="I281" s="351"/>
      <c r="J281" s="433"/>
      <c r="K281" s="546"/>
      <c r="L281" s="351"/>
      <c r="M281" s="456"/>
      <c r="N281" s="353"/>
      <c r="O281" s="433"/>
    </row>
    <row r="282">
      <c r="A282" s="433"/>
      <c r="B282" s="456"/>
      <c r="C282" s="433"/>
      <c r="D282" s="433"/>
      <c r="E282" s="545"/>
      <c r="F282" s="353"/>
      <c r="G282" s="456"/>
      <c r="H282" s="455"/>
      <c r="I282" s="351"/>
      <c r="J282" s="433"/>
      <c r="K282" s="546"/>
      <c r="L282" s="351"/>
      <c r="M282" s="456"/>
      <c r="N282" s="353"/>
      <c r="O282" s="433"/>
    </row>
    <row r="283">
      <c r="A283" s="433"/>
      <c r="B283" s="456"/>
      <c r="C283" s="433"/>
      <c r="D283" s="433"/>
      <c r="E283" s="545"/>
      <c r="F283" s="353"/>
      <c r="G283" s="456"/>
      <c r="H283" s="455"/>
      <c r="I283" s="351"/>
      <c r="J283" s="433"/>
      <c r="K283" s="546"/>
      <c r="L283" s="351"/>
      <c r="M283" s="456"/>
      <c r="N283" s="353"/>
      <c r="O283" s="433"/>
    </row>
    <row r="284">
      <c r="A284" s="433"/>
      <c r="B284" s="456"/>
      <c r="C284" s="433"/>
      <c r="D284" s="433"/>
      <c r="E284" s="545"/>
      <c r="F284" s="353"/>
      <c r="G284" s="456"/>
      <c r="H284" s="455"/>
      <c r="I284" s="351"/>
      <c r="J284" s="433"/>
      <c r="K284" s="546"/>
      <c r="L284" s="351"/>
      <c r="M284" s="456"/>
      <c r="N284" s="353"/>
      <c r="O284" s="433"/>
    </row>
    <row r="285">
      <c r="A285" s="433"/>
      <c r="B285" s="456"/>
      <c r="C285" s="433"/>
      <c r="D285" s="433"/>
      <c r="E285" s="545"/>
      <c r="F285" s="353"/>
      <c r="G285" s="456"/>
      <c r="H285" s="455"/>
      <c r="I285" s="351"/>
      <c r="J285" s="433"/>
      <c r="K285" s="546"/>
      <c r="L285" s="351"/>
      <c r="M285" s="456"/>
      <c r="N285" s="353"/>
      <c r="O285" s="433"/>
    </row>
    <row r="286">
      <c r="A286" s="433"/>
      <c r="B286" s="456"/>
      <c r="C286" s="433"/>
      <c r="D286" s="433"/>
      <c r="E286" s="545"/>
      <c r="F286" s="353"/>
      <c r="G286" s="456"/>
      <c r="H286" s="455"/>
      <c r="I286" s="351"/>
      <c r="J286" s="433"/>
      <c r="K286" s="546"/>
      <c r="L286" s="351"/>
      <c r="M286" s="456"/>
      <c r="N286" s="353"/>
      <c r="O286" s="433"/>
    </row>
    <row r="287">
      <c r="A287" s="433"/>
      <c r="B287" s="456"/>
      <c r="C287" s="433"/>
      <c r="D287" s="433"/>
      <c r="E287" s="545"/>
      <c r="F287" s="353"/>
      <c r="G287" s="456"/>
      <c r="H287" s="455"/>
      <c r="I287" s="351"/>
      <c r="J287" s="433"/>
      <c r="K287" s="546"/>
      <c r="L287" s="351"/>
      <c r="M287" s="456"/>
      <c r="N287" s="353"/>
      <c r="O287" s="433"/>
    </row>
    <row r="288">
      <c r="A288" s="433"/>
      <c r="B288" s="456"/>
      <c r="C288" s="433"/>
      <c r="D288" s="433"/>
      <c r="E288" s="545"/>
      <c r="F288" s="353"/>
      <c r="G288" s="456"/>
      <c r="H288" s="455"/>
      <c r="I288" s="351"/>
      <c r="J288" s="433"/>
      <c r="K288" s="546"/>
      <c r="L288" s="351"/>
      <c r="M288" s="456"/>
      <c r="N288" s="353"/>
      <c r="O288" s="433"/>
    </row>
    <row r="289">
      <c r="A289" s="433"/>
      <c r="B289" s="456"/>
      <c r="C289" s="433"/>
      <c r="D289" s="433"/>
      <c r="E289" s="545"/>
      <c r="F289" s="353"/>
      <c r="G289" s="456"/>
      <c r="H289" s="455"/>
      <c r="I289" s="351"/>
      <c r="J289" s="433"/>
      <c r="K289" s="546"/>
      <c r="L289" s="351"/>
      <c r="M289" s="456"/>
      <c r="N289" s="353"/>
      <c r="O289" s="433"/>
    </row>
    <row r="290">
      <c r="A290" s="433"/>
      <c r="B290" s="456"/>
      <c r="C290" s="433"/>
      <c r="D290" s="433"/>
      <c r="E290" s="545"/>
      <c r="F290" s="353"/>
      <c r="G290" s="456"/>
      <c r="H290" s="455"/>
      <c r="I290" s="351"/>
      <c r="J290" s="433"/>
      <c r="K290" s="546"/>
      <c r="L290" s="351"/>
      <c r="M290" s="456"/>
      <c r="N290" s="353"/>
      <c r="O290" s="433"/>
    </row>
    <row r="291">
      <c r="A291" s="433"/>
      <c r="B291" s="456"/>
      <c r="C291" s="433"/>
      <c r="D291" s="433"/>
      <c r="E291" s="545"/>
      <c r="F291" s="353"/>
      <c r="G291" s="456"/>
      <c r="H291" s="455"/>
      <c r="I291" s="351"/>
      <c r="J291" s="433"/>
      <c r="K291" s="546"/>
      <c r="L291" s="351"/>
      <c r="M291" s="456"/>
      <c r="N291" s="353"/>
      <c r="O291" s="433"/>
    </row>
    <row r="292">
      <c r="A292" s="433"/>
      <c r="B292" s="456"/>
      <c r="C292" s="433"/>
      <c r="D292" s="433"/>
      <c r="E292" s="545"/>
      <c r="F292" s="353"/>
      <c r="G292" s="456"/>
      <c r="H292" s="455"/>
      <c r="I292" s="351"/>
      <c r="J292" s="433"/>
      <c r="K292" s="546"/>
      <c r="L292" s="351"/>
      <c r="M292" s="456"/>
      <c r="N292" s="353"/>
      <c r="O292" s="433"/>
    </row>
    <row r="293">
      <c r="A293" s="433"/>
      <c r="B293" s="456"/>
      <c r="C293" s="433"/>
      <c r="D293" s="433"/>
      <c r="E293" s="545"/>
      <c r="F293" s="353"/>
      <c r="G293" s="456"/>
      <c r="H293" s="455"/>
      <c r="I293" s="351"/>
      <c r="J293" s="433"/>
      <c r="K293" s="546"/>
      <c r="L293" s="351"/>
      <c r="M293" s="456"/>
      <c r="N293" s="353"/>
      <c r="O293" s="433"/>
    </row>
    <row r="294">
      <c r="A294" s="433"/>
      <c r="B294" s="456"/>
      <c r="C294" s="433"/>
      <c r="D294" s="433"/>
      <c r="E294" s="545"/>
      <c r="F294" s="353"/>
      <c r="G294" s="456"/>
      <c r="H294" s="455"/>
      <c r="I294" s="351"/>
      <c r="J294" s="433"/>
      <c r="K294" s="546"/>
      <c r="L294" s="351"/>
      <c r="M294" s="456"/>
      <c r="N294" s="353"/>
      <c r="O294" s="433"/>
    </row>
    <row r="295">
      <c r="A295" s="433"/>
      <c r="B295" s="456"/>
      <c r="C295" s="433"/>
      <c r="D295" s="433"/>
      <c r="E295" s="545"/>
      <c r="F295" s="353"/>
      <c r="G295" s="456"/>
      <c r="H295" s="455"/>
      <c r="I295" s="351"/>
      <c r="J295" s="433"/>
      <c r="K295" s="546"/>
      <c r="L295" s="351"/>
      <c r="M295" s="456"/>
      <c r="N295" s="353"/>
      <c r="O295" s="433"/>
    </row>
    <row r="296">
      <c r="A296" s="433"/>
      <c r="B296" s="456"/>
      <c r="C296" s="433"/>
      <c r="D296" s="433"/>
      <c r="E296" s="545"/>
      <c r="F296" s="353"/>
      <c r="G296" s="456"/>
      <c r="H296" s="455"/>
      <c r="I296" s="351"/>
      <c r="J296" s="433"/>
      <c r="K296" s="546"/>
      <c r="L296" s="351"/>
      <c r="M296" s="456"/>
      <c r="N296" s="353"/>
      <c r="O296" s="433"/>
    </row>
    <row r="297">
      <c r="A297" s="433"/>
      <c r="B297" s="456"/>
      <c r="C297" s="433"/>
      <c r="D297" s="433"/>
      <c r="E297" s="545"/>
      <c r="F297" s="353"/>
      <c r="G297" s="456"/>
      <c r="H297" s="455"/>
      <c r="I297" s="351"/>
      <c r="J297" s="433"/>
      <c r="K297" s="546"/>
      <c r="L297" s="351"/>
      <c r="M297" s="456"/>
      <c r="N297" s="353"/>
      <c r="O297" s="433"/>
    </row>
    <row r="298">
      <c r="A298" s="433"/>
      <c r="B298" s="456"/>
      <c r="C298" s="433"/>
      <c r="D298" s="433"/>
      <c r="E298" s="545"/>
      <c r="F298" s="353"/>
      <c r="G298" s="456"/>
      <c r="H298" s="455"/>
      <c r="I298" s="351"/>
      <c r="J298" s="433"/>
      <c r="K298" s="546"/>
      <c r="L298" s="351"/>
      <c r="M298" s="456"/>
      <c r="N298" s="353"/>
      <c r="O298" s="433"/>
    </row>
    <row r="299">
      <c r="A299" s="433"/>
      <c r="B299" s="456"/>
      <c r="C299" s="433"/>
      <c r="D299" s="433"/>
      <c r="E299" s="545"/>
      <c r="F299" s="353"/>
      <c r="G299" s="456"/>
      <c r="H299" s="455"/>
      <c r="I299" s="351"/>
      <c r="J299" s="433"/>
      <c r="K299" s="546"/>
      <c r="L299" s="351"/>
      <c r="M299" s="456"/>
      <c r="N299" s="353"/>
      <c r="O299" s="433"/>
    </row>
    <row r="300">
      <c r="A300" s="433"/>
      <c r="B300" s="456"/>
      <c r="C300" s="433"/>
      <c r="D300" s="433"/>
      <c r="E300" s="545"/>
      <c r="F300" s="353"/>
      <c r="G300" s="456"/>
      <c r="H300" s="455"/>
      <c r="I300" s="351"/>
      <c r="J300" s="433"/>
      <c r="K300" s="546"/>
      <c r="L300" s="351"/>
      <c r="M300" s="456"/>
      <c r="N300" s="353"/>
      <c r="O300" s="433"/>
    </row>
    <row r="301">
      <c r="A301" s="433"/>
      <c r="B301" s="456"/>
      <c r="C301" s="433"/>
      <c r="D301" s="433"/>
      <c r="E301" s="545"/>
      <c r="F301" s="353"/>
      <c r="G301" s="456"/>
      <c r="H301" s="455"/>
      <c r="I301" s="351"/>
      <c r="J301" s="433"/>
      <c r="K301" s="546"/>
      <c r="L301" s="351"/>
      <c r="M301" s="456"/>
      <c r="N301" s="353"/>
      <c r="O301" s="433"/>
    </row>
    <row r="302">
      <c r="A302" s="433"/>
      <c r="B302" s="456"/>
      <c r="C302" s="433"/>
      <c r="D302" s="433"/>
      <c r="E302" s="545"/>
      <c r="F302" s="353"/>
      <c r="G302" s="456"/>
      <c r="H302" s="455"/>
      <c r="I302" s="351"/>
      <c r="J302" s="433"/>
      <c r="K302" s="546"/>
      <c r="L302" s="351"/>
      <c r="M302" s="456"/>
      <c r="N302" s="353"/>
      <c r="O302" s="433"/>
    </row>
    <row r="303">
      <c r="A303" s="433"/>
      <c r="B303" s="456"/>
      <c r="C303" s="433"/>
      <c r="D303" s="433"/>
      <c r="E303" s="545"/>
      <c r="F303" s="353"/>
      <c r="G303" s="456"/>
      <c r="H303" s="455"/>
      <c r="I303" s="351"/>
      <c r="J303" s="433"/>
      <c r="K303" s="546"/>
      <c r="L303" s="351"/>
      <c r="M303" s="456"/>
      <c r="N303" s="353"/>
      <c r="O303" s="433"/>
    </row>
    <row r="304">
      <c r="A304" s="433"/>
      <c r="B304" s="456"/>
      <c r="C304" s="433"/>
      <c r="D304" s="433"/>
      <c r="E304" s="545"/>
      <c r="F304" s="353"/>
      <c r="G304" s="456"/>
      <c r="H304" s="455"/>
      <c r="I304" s="351"/>
      <c r="J304" s="433"/>
      <c r="K304" s="546"/>
      <c r="L304" s="351"/>
      <c r="M304" s="456"/>
      <c r="N304" s="353"/>
      <c r="O304" s="433"/>
    </row>
    <row r="305">
      <c r="A305" s="433"/>
      <c r="B305" s="456"/>
      <c r="C305" s="433"/>
      <c r="D305" s="433"/>
      <c r="E305" s="545"/>
      <c r="F305" s="353"/>
      <c r="G305" s="456"/>
      <c r="H305" s="455"/>
      <c r="I305" s="351"/>
      <c r="J305" s="433"/>
      <c r="K305" s="546"/>
      <c r="L305" s="351"/>
      <c r="M305" s="456"/>
      <c r="N305" s="353"/>
      <c r="O305" s="433"/>
    </row>
    <row r="306">
      <c r="A306" s="433"/>
      <c r="B306" s="456"/>
      <c r="C306" s="433"/>
      <c r="D306" s="433"/>
      <c r="E306" s="545"/>
      <c r="F306" s="353"/>
      <c r="G306" s="456"/>
      <c r="H306" s="455"/>
      <c r="I306" s="351"/>
      <c r="J306" s="433"/>
      <c r="K306" s="546"/>
      <c r="L306" s="351"/>
      <c r="M306" s="456"/>
      <c r="N306" s="353"/>
      <c r="O306" s="433"/>
    </row>
    <row r="307">
      <c r="A307" s="433"/>
      <c r="B307" s="456"/>
      <c r="C307" s="433"/>
      <c r="D307" s="433"/>
      <c r="E307" s="545"/>
      <c r="F307" s="353"/>
      <c r="G307" s="456"/>
      <c r="H307" s="455"/>
      <c r="I307" s="351"/>
      <c r="J307" s="433"/>
      <c r="K307" s="546"/>
      <c r="L307" s="351"/>
      <c r="M307" s="456"/>
      <c r="N307" s="353"/>
      <c r="O307" s="433"/>
    </row>
    <row r="308">
      <c r="A308" s="433"/>
      <c r="B308" s="456"/>
      <c r="C308" s="433"/>
      <c r="D308" s="433"/>
      <c r="E308" s="545"/>
      <c r="F308" s="353"/>
      <c r="G308" s="456"/>
      <c r="H308" s="455"/>
      <c r="I308" s="351"/>
      <c r="J308" s="433"/>
      <c r="K308" s="546"/>
      <c r="L308" s="351"/>
      <c r="M308" s="456"/>
      <c r="N308" s="353"/>
      <c r="O308" s="433"/>
    </row>
    <row r="309">
      <c r="A309" s="433"/>
      <c r="B309" s="456"/>
      <c r="C309" s="433"/>
      <c r="D309" s="433"/>
      <c r="E309" s="545"/>
      <c r="F309" s="353"/>
      <c r="G309" s="456"/>
      <c r="H309" s="455"/>
      <c r="I309" s="351"/>
      <c r="J309" s="433"/>
      <c r="K309" s="546"/>
      <c r="L309" s="351"/>
      <c r="M309" s="456"/>
      <c r="N309" s="353"/>
      <c r="O309" s="433"/>
    </row>
    <row r="310">
      <c r="A310" s="433"/>
      <c r="B310" s="456"/>
      <c r="C310" s="433"/>
      <c r="D310" s="433"/>
      <c r="E310" s="545"/>
      <c r="F310" s="353"/>
      <c r="G310" s="456"/>
      <c r="H310" s="455"/>
      <c r="I310" s="351"/>
      <c r="J310" s="433"/>
      <c r="K310" s="546"/>
      <c r="L310" s="351"/>
      <c r="M310" s="456"/>
      <c r="N310" s="353"/>
      <c r="O310" s="433"/>
    </row>
    <row r="311">
      <c r="A311" s="433"/>
      <c r="B311" s="456"/>
      <c r="C311" s="433"/>
      <c r="D311" s="433"/>
      <c r="E311" s="545"/>
      <c r="F311" s="353"/>
      <c r="G311" s="456"/>
      <c r="H311" s="455"/>
      <c r="I311" s="351"/>
      <c r="J311" s="433"/>
      <c r="K311" s="546"/>
      <c r="L311" s="351"/>
      <c r="M311" s="456"/>
      <c r="N311" s="353"/>
      <c r="O311" s="433"/>
    </row>
    <row r="312">
      <c r="A312" s="433"/>
      <c r="B312" s="456"/>
      <c r="C312" s="433"/>
      <c r="D312" s="433"/>
      <c r="E312" s="545"/>
      <c r="F312" s="353"/>
      <c r="G312" s="456"/>
      <c r="H312" s="455"/>
      <c r="I312" s="351"/>
      <c r="J312" s="433"/>
      <c r="K312" s="546"/>
      <c r="L312" s="351"/>
      <c r="M312" s="456"/>
      <c r="N312" s="353"/>
      <c r="O312" s="433"/>
    </row>
    <row r="313">
      <c r="A313" s="433"/>
      <c r="B313" s="456"/>
      <c r="C313" s="433"/>
      <c r="D313" s="433"/>
      <c r="E313" s="545"/>
      <c r="F313" s="353"/>
      <c r="G313" s="456"/>
      <c r="H313" s="455"/>
      <c r="I313" s="351"/>
      <c r="J313" s="433"/>
      <c r="K313" s="546"/>
      <c r="L313" s="351"/>
      <c r="M313" s="456"/>
      <c r="N313" s="353"/>
      <c r="O313" s="433"/>
    </row>
    <row r="314">
      <c r="A314" s="433"/>
      <c r="B314" s="456"/>
      <c r="C314" s="433"/>
      <c r="D314" s="433"/>
      <c r="E314" s="545"/>
      <c r="F314" s="353"/>
      <c r="G314" s="456"/>
      <c r="H314" s="455"/>
      <c r="I314" s="351"/>
      <c r="J314" s="433"/>
      <c r="K314" s="546"/>
      <c r="L314" s="351"/>
      <c r="M314" s="456"/>
      <c r="N314" s="353"/>
      <c r="O314" s="433"/>
    </row>
    <row r="315">
      <c r="A315" s="433"/>
      <c r="B315" s="456"/>
      <c r="C315" s="433"/>
      <c r="D315" s="433"/>
      <c r="E315" s="545"/>
      <c r="F315" s="353"/>
      <c r="G315" s="456"/>
      <c r="H315" s="455"/>
      <c r="I315" s="351"/>
      <c r="J315" s="433"/>
      <c r="K315" s="546"/>
      <c r="L315" s="351"/>
      <c r="M315" s="456"/>
      <c r="N315" s="353"/>
      <c r="O315" s="433"/>
    </row>
    <row r="316">
      <c r="A316" s="433"/>
      <c r="B316" s="456"/>
      <c r="C316" s="433"/>
      <c r="D316" s="433"/>
      <c r="E316" s="545"/>
      <c r="F316" s="353"/>
      <c r="G316" s="456"/>
      <c r="H316" s="455"/>
      <c r="I316" s="351"/>
      <c r="J316" s="433"/>
      <c r="K316" s="546"/>
      <c r="L316" s="351"/>
      <c r="M316" s="456"/>
      <c r="N316" s="353"/>
      <c r="O316" s="433"/>
    </row>
    <row r="317">
      <c r="A317" s="433"/>
      <c r="B317" s="456"/>
      <c r="C317" s="433"/>
      <c r="D317" s="433"/>
      <c r="E317" s="545"/>
      <c r="F317" s="353"/>
      <c r="G317" s="456"/>
      <c r="H317" s="455"/>
      <c r="I317" s="351"/>
      <c r="J317" s="433"/>
      <c r="K317" s="546"/>
      <c r="L317" s="351"/>
      <c r="M317" s="456"/>
      <c r="N317" s="353"/>
      <c r="O317" s="433"/>
    </row>
    <row r="318">
      <c r="A318" s="433"/>
      <c r="B318" s="456"/>
      <c r="C318" s="433"/>
      <c r="D318" s="433"/>
      <c r="E318" s="545"/>
      <c r="F318" s="353"/>
      <c r="G318" s="456"/>
      <c r="H318" s="455"/>
      <c r="I318" s="351"/>
      <c r="J318" s="433"/>
      <c r="K318" s="546"/>
      <c r="L318" s="351"/>
      <c r="M318" s="456"/>
      <c r="N318" s="353"/>
      <c r="O318" s="433"/>
    </row>
    <row r="319">
      <c r="A319" s="433"/>
      <c r="B319" s="456"/>
      <c r="C319" s="433"/>
      <c r="D319" s="433"/>
      <c r="E319" s="545"/>
      <c r="F319" s="353"/>
      <c r="G319" s="456"/>
      <c r="H319" s="455"/>
      <c r="I319" s="351"/>
      <c r="J319" s="433"/>
      <c r="K319" s="546"/>
      <c r="L319" s="351"/>
      <c r="M319" s="456"/>
      <c r="N319" s="353"/>
      <c r="O319" s="433"/>
    </row>
    <row r="320">
      <c r="A320" s="433"/>
      <c r="B320" s="456"/>
      <c r="C320" s="433"/>
      <c r="D320" s="433"/>
      <c r="E320" s="545"/>
      <c r="F320" s="353"/>
      <c r="G320" s="456"/>
      <c r="H320" s="455"/>
      <c r="I320" s="351"/>
      <c r="J320" s="433"/>
      <c r="K320" s="546"/>
      <c r="L320" s="351"/>
      <c r="M320" s="456"/>
      <c r="N320" s="353"/>
      <c r="O320" s="433"/>
    </row>
    <row r="321">
      <c r="A321" s="433"/>
      <c r="B321" s="456"/>
      <c r="C321" s="433"/>
      <c r="D321" s="433"/>
      <c r="E321" s="545"/>
      <c r="F321" s="353"/>
      <c r="G321" s="456"/>
      <c r="H321" s="455"/>
      <c r="I321" s="351"/>
      <c r="J321" s="433"/>
      <c r="K321" s="546"/>
      <c r="L321" s="351"/>
      <c r="M321" s="456"/>
      <c r="N321" s="353"/>
      <c r="O321" s="433"/>
    </row>
    <row r="322">
      <c r="A322" s="433"/>
      <c r="B322" s="456"/>
      <c r="C322" s="433"/>
      <c r="D322" s="433"/>
      <c r="E322" s="545"/>
      <c r="F322" s="353"/>
      <c r="G322" s="456"/>
      <c r="H322" s="455"/>
      <c r="I322" s="351"/>
      <c r="J322" s="433"/>
      <c r="K322" s="546"/>
      <c r="L322" s="351"/>
      <c r="M322" s="456"/>
      <c r="N322" s="353"/>
      <c r="O322" s="433"/>
    </row>
    <row r="323">
      <c r="A323" s="433"/>
      <c r="B323" s="456"/>
      <c r="C323" s="433"/>
      <c r="D323" s="433"/>
      <c r="E323" s="545"/>
      <c r="F323" s="353"/>
      <c r="G323" s="456"/>
      <c r="H323" s="455"/>
      <c r="I323" s="351"/>
      <c r="J323" s="433"/>
      <c r="K323" s="546"/>
      <c r="L323" s="351"/>
      <c r="M323" s="456"/>
      <c r="N323" s="353"/>
      <c r="O323" s="433"/>
    </row>
    <row r="324">
      <c r="A324" s="433"/>
      <c r="B324" s="456"/>
      <c r="C324" s="433"/>
      <c r="D324" s="433"/>
      <c r="E324" s="545"/>
      <c r="F324" s="353"/>
      <c r="G324" s="456"/>
      <c r="H324" s="455"/>
      <c r="I324" s="351"/>
      <c r="J324" s="433"/>
      <c r="K324" s="546"/>
      <c r="L324" s="351"/>
      <c r="M324" s="456"/>
      <c r="N324" s="353"/>
      <c r="O324" s="433"/>
    </row>
    <row r="325">
      <c r="A325" s="433"/>
      <c r="B325" s="456"/>
      <c r="C325" s="433"/>
      <c r="D325" s="433"/>
      <c r="E325" s="545"/>
      <c r="F325" s="353"/>
      <c r="G325" s="456"/>
      <c r="H325" s="455"/>
      <c r="I325" s="351"/>
      <c r="J325" s="433"/>
      <c r="K325" s="546"/>
      <c r="L325" s="351"/>
      <c r="M325" s="456"/>
      <c r="N325" s="353"/>
      <c r="O325" s="433"/>
    </row>
    <row r="326">
      <c r="A326" s="433"/>
      <c r="B326" s="456"/>
      <c r="C326" s="433"/>
      <c r="D326" s="433"/>
      <c r="E326" s="545"/>
      <c r="F326" s="353"/>
      <c r="G326" s="456"/>
      <c r="H326" s="455"/>
      <c r="I326" s="351"/>
      <c r="J326" s="433"/>
      <c r="K326" s="546"/>
      <c r="L326" s="351"/>
      <c r="M326" s="456"/>
      <c r="N326" s="353"/>
      <c r="O326" s="433"/>
    </row>
    <row r="327">
      <c r="A327" s="433"/>
      <c r="B327" s="456"/>
      <c r="C327" s="433"/>
      <c r="D327" s="433"/>
      <c r="E327" s="545"/>
      <c r="F327" s="353"/>
      <c r="G327" s="456"/>
      <c r="H327" s="455"/>
      <c r="I327" s="351"/>
      <c r="J327" s="433"/>
      <c r="K327" s="546"/>
      <c r="L327" s="351"/>
      <c r="M327" s="456"/>
      <c r="N327" s="353"/>
      <c r="O327" s="433"/>
    </row>
    <row r="328">
      <c r="A328" s="433"/>
      <c r="B328" s="456"/>
      <c r="C328" s="433"/>
      <c r="D328" s="433"/>
      <c r="E328" s="545"/>
      <c r="F328" s="353"/>
      <c r="G328" s="456"/>
      <c r="H328" s="455"/>
      <c r="I328" s="351"/>
      <c r="J328" s="433"/>
      <c r="K328" s="546"/>
      <c r="L328" s="351"/>
      <c r="M328" s="456"/>
      <c r="N328" s="353"/>
      <c r="O328" s="433"/>
    </row>
    <row r="329">
      <c r="A329" s="433"/>
      <c r="B329" s="456"/>
      <c r="C329" s="433"/>
      <c r="D329" s="433"/>
      <c r="E329" s="545"/>
      <c r="F329" s="353"/>
      <c r="G329" s="456"/>
      <c r="H329" s="455"/>
      <c r="I329" s="351"/>
      <c r="J329" s="433"/>
      <c r="K329" s="546"/>
      <c r="L329" s="351"/>
      <c r="M329" s="456"/>
      <c r="N329" s="353"/>
      <c r="O329" s="433"/>
    </row>
    <row r="330">
      <c r="A330" s="433"/>
      <c r="B330" s="456"/>
      <c r="C330" s="433"/>
      <c r="D330" s="433"/>
      <c r="E330" s="545"/>
      <c r="F330" s="353"/>
      <c r="G330" s="456"/>
      <c r="H330" s="455"/>
      <c r="I330" s="351"/>
      <c r="J330" s="433"/>
      <c r="K330" s="546"/>
      <c r="L330" s="351"/>
      <c r="M330" s="456"/>
      <c r="N330" s="353"/>
      <c r="O330" s="433"/>
    </row>
    <row r="331">
      <c r="A331" s="433"/>
      <c r="B331" s="456"/>
      <c r="C331" s="433"/>
      <c r="D331" s="433"/>
      <c r="E331" s="545"/>
      <c r="F331" s="353"/>
      <c r="G331" s="456"/>
      <c r="H331" s="455"/>
      <c r="I331" s="351"/>
      <c r="J331" s="433"/>
      <c r="K331" s="546"/>
      <c r="L331" s="351"/>
      <c r="M331" s="456"/>
      <c r="N331" s="353"/>
      <c r="O331" s="433"/>
    </row>
    <row r="332">
      <c r="A332" s="433"/>
      <c r="B332" s="456"/>
      <c r="C332" s="433"/>
      <c r="D332" s="433"/>
      <c r="E332" s="545"/>
      <c r="F332" s="353"/>
      <c r="G332" s="456"/>
      <c r="H332" s="455"/>
      <c r="I332" s="351"/>
      <c r="J332" s="433"/>
      <c r="K332" s="546"/>
      <c r="L332" s="351"/>
      <c r="M332" s="456"/>
      <c r="N332" s="353"/>
      <c r="O332" s="433"/>
    </row>
    <row r="333">
      <c r="A333" s="433"/>
      <c r="B333" s="456"/>
      <c r="C333" s="433"/>
      <c r="D333" s="433"/>
      <c r="E333" s="545"/>
      <c r="F333" s="353"/>
      <c r="G333" s="456"/>
      <c r="H333" s="455"/>
      <c r="I333" s="351"/>
      <c r="J333" s="433"/>
      <c r="K333" s="546"/>
      <c r="L333" s="351"/>
      <c r="M333" s="456"/>
      <c r="N333" s="353"/>
      <c r="O333" s="433"/>
    </row>
    <row r="334">
      <c r="A334" s="433"/>
      <c r="B334" s="456"/>
      <c r="C334" s="433"/>
      <c r="D334" s="433"/>
      <c r="E334" s="545"/>
      <c r="F334" s="353"/>
      <c r="G334" s="456"/>
      <c r="H334" s="455"/>
      <c r="I334" s="351"/>
      <c r="J334" s="433"/>
      <c r="K334" s="546"/>
      <c r="L334" s="351"/>
      <c r="M334" s="456"/>
      <c r="N334" s="353"/>
      <c r="O334" s="433"/>
    </row>
    <row r="335">
      <c r="A335" s="433"/>
      <c r="B335" s="456"/>
      <c r="C335" s="433"/>
      <c r="D335" s="433"/>
      <c r="E335" s="545"/>
      <c r="F335" s="353"/>
      <c r="G335" s="456"/>
      <c r="H335" s="455"/>
      <c r="I335" s="351"/>
      <c r="J335" s="433"/>
      <c r="K335" s="546"/>
      <c r="L335" s="351"/>
      <c r="M335" s="456"/>
      <c r="N335" s="353"/>
      <c r="O335" s="433"/>
    </row>
    <row r="336">
      <c r="A336" s="433"/>
      <c r="B336" s="456"/>
      <c r="C336" s="433"/>
      <c r="D336" s="433"/>
      <c r="E336" s="545"/>
      <c r="F336" s="353"/>
      <c r="G336" s="456"/>
      <c r="H336" s="455"/>
      <c r="I336" s="351"/>
      <c r="J336" s="433"/>
      <c r="K336" s="546"/>
      <c r="L336" s="351"/>
      <c r="M336" s="456"/>
      <c r="N336" s="353"/>
      <c r="O336" s="433"/>
    </row>
    <row r="337">
      <c r="A337" s="433"/>
      <c r="B337" s="456"/>
      <c r="C337" s="433"/>
      <c r="D337" s="433"/>
      <c r="E337" s="545"/>
      <c r="F337" s="353"/>
      <c r="G337" s="456"/>
      <c r="H337" s="455"/>
      <c r="I337" s="351"/>
      <c r="J337" s="433"/>
      <c r="K337" s="546"/>
      <c r="L337" s="351"/>
      <c r="M337" s="456"/>
      <c r="N337" s="353"/>
      <c r="O337" s="433"/>
    </row>
    <row r="338">
      <c r="A338" s="433"/>
      <c r="B338" s="456"/>
      <c r="C338" s="433"/>
      <c r="D338" s="433"/>
      <c r="E338" s="545"/>
      <c r="F338" s="353"/>
      <c r="G338" s="456"/>
      <c r="H338" s="455"/>
      <c r="I338" s="351"/>
      <c r="J338" s="433"/>
      <c r="K338" s="546"/>
      <c r="L338" s="351"/>
      <c r="M338" s="456"/>
      <c r="N338" s="353"/>
      <c r="O338" s="433"/>
    </row>
    <row r="339">
      <c r="A339" s="433"/>
      <c r="B339" s="456"/>
      <c r="C339" s="433"/>
      <c r="D339" s="433"/>
      <c r="E339" s="545"/>
      <c r="F339" s="353"/>
      <c r="G339" s="456"/>
      <c r="H339" s="455"/>
      <c r="I339" s="351"/>
      <c r="J339" s="433"/>
      <c r="K339" s="546"/>
      <c r="L339" s="351"/>
      <c r="M339" s="456"/>
      <c r="N339" s="353"/>
      <c r="O339" s="433"/>
    </row>
    <row r="340">
      <c r="A340" s="433"/>
      <c r="B340" s="456"/>
      <c r="C340" s="433"/>
      <c r="D340" s="433"/>
      <c r="E340" s="545"/>
      <c r="F340" s="353"/>
      <c r="G340" s="456"/>
      <c r="H340" s="455"/>
      <c r="I340" s="351"/>
      <c r="J340" s="433"/>
      <c r="K340" s="546"/>
      <c r="L340" s="351"/>
      <c r="M340" s="456"/>
      <c r="N340" s="353"/>
      <c r="O340" s="433"/>
    </row>
    <row r="341">
      <c r="A341" s="433"/>
      <c r="B341" s="456"/>
      <c r="C341" s="433"/>
      <c r="D341" s="433"/>
      <c r="E341" s="545"/>
      <c r="F341" s="353"/>
      <c r="G341" s="456"/>
      <c r="H341" s="455"/>
      <c r="I341" s="351"/>
      <c r="J341" s="433"/>
      <c r="K341" s="546"/>
      <c r="L341" s="351"/>
      <c r="M341" s="456"/>
      <c r="N341" s="353"/>
      <c r="O341" s="433"/>
    </row>
    <row r="342">
      <c r="A342" s="433"/>
      <c r="B342" s="456"/>
      <c r="C342" s="433"/>
      <c r="D342" s="433"/>
      <c r="E342" s="545"/>
      <c r="F342" s="353"/>
      <c r="G342" s="456"/>
      <c r="H342" s="455"/>
      <c r="I342" s="351"/>
      <c r="J342" s="433"/>
      <c r="K342" s="546"/>
      <c r="L342" s="351"/>
      <c r="M342" s="456"/>
      <c r="N342" s="353"/>
      <c r="O342" s="433"/>
    </row>
    <row r="343">
      <c r="A343" s="433"/>
      <c r="B343" s="456"/>
      <c r="C343" s="433"/>
      <c r="D343" s="433"/>
      <c r="E343" s="545"/>
      <c r="F343" s="353"/>
      <c r="G343" s="456"/>
      <c r="H343" s="455"/>
      <c r="I343" s="351"/>
      <c r="J343" s="433"/>
      <c r="K343" s="546"/>
      <c r="L343" s="351"/>
      <c r="M343" s="456"/>
      <c r="N343" s="353"/>
      <c r="O343" s="433"/>
    </row>
    <row r="344">
      <c r="A344" s="433"/>
      <c r="B344" s="456"/>
      <c r="C344" s="433"/>
      <c r="D344" s="433"/>
      <c r="E344" s="545"/>
      <c r="F344" s="353"/>
      <c r="G344" s="456"/>
      <c r="H344" s="455"/>
      <c r="I344" s="351"/>
      <c r="J344" s="433"/>
      <c r="K344" s="546"/>
      <c r="L344" s="351"/>
      <c r="M344" s="456"/>
      <c r="N344" s="353"/>
      <c r="O344" s="433"/>
    </row>
    <row r="345">
      <c r="A345" s="433"/>
      <c r="B345" s="456"/>
      <c r="C345" s="433"/>
      <c r="D345" s="433"/>
      <c r="E345" s="545"/>
      <c r="F345" s="353"/>
      <c r="G345" s="456"/>
      <c r="H345" s="455"/>
      <c r="I345" s="351"/>
      <c r="J345" s="433"/>
      <c r="K345" s="546"/>
      <c r="L345" s="351"/>
      <c r="M345" s="456"/>
      <c r="N345" s="353"/>
      <c r="O345" s="433"/>
    </row>
    <row r="346">
      <c r="A346" s="433"/>
      <c r="B346" s="456"/>
      <c r="C346" s="433"/>
      <c r="D346" s="433"/>
      <c r="E346" s="545"/>
      <c r="F346" s="353"/>
      <c r="G346" s="456"/>
      <c r="H346" s="455"/>
      <c r="I346" s="351"/>
      <c r="J346" s="433"/>
      <c r="K346" s="546"/>
      <c r="L346" s="351"/>
      <c r="M346" s="456"/>
      <c r="N346" s="353"/>
      <c r="O346" s="433"/>
    </row>
    <row r="347">
      <c r="A347" s="433"/>
      <c r="B347" s="456"/>
      <c r="C347" s="433"/>
      <c r="D347" s="433"/>
      <c r="E347" s="545"/>
      <c r="F347" s="353"/>
      <c r="G347" s="456"/>
      <c r="H347" s="455"/>
      <c r="I347" s="351"/>
      <c r="J347" s="433"/>
      <c r="K347" s="546"/>
      <c r="L347" s="351"/>
      <c r="M347" s="456"/>
      <c r="N347" s="353"/>
      <c r="O347" s="433"/>
    </row>
    <row r="348">
      <c r="A348" s="433"/>
      <c r="B348" s="456"/>
      <c r="C348" s="433"/>
      <c r="D348" s="433"/>
      <c r="E348" s="545"/>
      <c r="F348" s="353"/>
      <c r="G348" s="456"/>
      <c r="H348" s="455"/>
      <c r="I348" s="351"/>
      <c r="J348" s="433"/>
      <c r="K348" s="546"/>
      <c r="L348" s="351"/>
      <c r="M348" s="456"/>
      <c r="N348" s="353"/>
      <c r="O348" s="433"/>
    </row>
    <row r="349">
      <c r="A349" s="433"/>
      <c r="B349" s="456"/>
      <c r="C349" s="433"/>
      <c r="D349" s="433"/>
      <c r="E349" s="545"/>
      <c r="F349" s="353"/>
      <c r="G349" s="456"/>
      <c r="H349" s="455"/>
      <c r="I349" s="351"/>
      <c r="J349" s="433"/>
      <c r="K349" s="546"/>
      <c r="L349" s="351"/>
      <c r="M349" s="456"/>
      <c r="N349" s="353"/>
      <c r="O349" s="433"/>
    </row>
    <row r="350">
      <c r="A350" s="433"/>
      <c r="B350" s="456"/>
      <c r="C350" s="433"/>
      <c r="D350" s="433"/>
      <c r="E350" s="545"/>
      <c r="F350" s="353"/>
      <c r="G350" s="456"/>
      <c r="H350" s="455"/>
      <c r="I350" s="351"/>
      <c r="J350" s="433"/>
      <c r="K350" s="546"/>
      <c r="L350" s="351"/>
      <c r="M350" s="456"/>
      <c r="N350" s="353"/>
      <c r="O350" s="433"/>
    </row>
    <row r="351">
      <c r="A351" s="433"/>
      <c r="B351" s="456"/>
      <c r="C351" s="433"/>
      <c r="D351" s="433"/>
      <c r="E351" s="545"/>
      <c r="F351" s="353"/>
      <c r="G351" s="456"/>
      <c r="H351" s="455"/>
      <c r="I351" s="351"/>
      <c r="J351" s="433"/>
      <c r="K351" s="546"/>
      <c r="L351" s="351"/>
      <c r="M351" s="456"/>
      <c r="N351" s="353"/>
      <c r="O351" s="433"/>
    </row>
    <row r="352">
      <c r="A352" s="433"/>
      <c r="B352" s="456"/>
      <c r="C352" s="433"/>
      <c r="D352" s="433"/>
      <c r="E352" s="545"/>
      <c r="F352" s="353"/>
      <c r="G352" s="456"/>
      <c r="H352" s="455"/>
      <c r="I352" s="351"/>
      <c r="J352" s="433"/>
      <c r="K352" s="546"/>
      <c r="L352" s="351"/>
      <c r="M352" s="456"/>
      <c r="N352" s="353"/>
      <c r="O352" s="433"/>
    </row>
    <row r="353">
      <c r="A353" s="433"/>
      <c r="B353" s="456"/>
      <c r="C353" s="433"/>
      <c r="D353" s="433"/>
      <c r="E353" s="545"/>
      <c r="F353" s="353"/>
      <c r="G353" s="456"/>
      <c r="H353" s="455"/>
      <c r="I353" s="351"/>
      <c r="J353" s="433"/>
      <c r="K353" s="546"/>
      <c r="L353" s="351"/>
      <c r="M353" s="456"/>
      <c r="N353" s="353"/>
      <c r="O353" s="433"/>
    </row>
    <row r="354">
      <c r="A354" s="433"/>
      <c r="B354" s="456"/>
      <c r="C354" s="433"/>
      <c r="D354" s="433"/>
      <c r="E354" s="545"/>
      <c r="F354" s="353"/>
      <c r="G354" s="456"/>
      <c r="H354" s="455"/>
      <c r="I354" s="351"/>
      <c r="J354" s="433"/>
      <c r="K354" s="546"/>
      <c r="L354" s="351"/>
      <c r="M354" s="456"/>
      <c r="N354" s="353"/>
      <c r="O354" s="433"/>
    </row>
    <row r="355">
      <c r="A355" s="433"/>
      <c r="B355" s="456"/>
      <c r="C355" s="433"/>
      <c r="D355" s="433"/>
      <c r="E355" s="545"/>
      <c r="F355" s="353"/>
      <c r="G355" s="456"/>
      <c r="H355" s="455"/>
      <c r="I355" s="351"/>
      <c r="J355" s="433"/>
      <c r="K355" s="546"/>
      <c r="L355" s="351"/>
      <c r="M355" s="456"/>
      <c r="N355" s="353"/>
      <c r="O355" s="433"/>
    </row>
    <row r="356">
      <c r="A356" s="433"/>
      <c r="B356" s="456"/>
      <c r="C356" s="433"/>
      <c r="D356" s="433"/>
      <c r="E356" s="545"/>
      <c r="F356" s="353"/>
      <c r="G356" s="456"/>
      <c r="H356" s="455"/>
      <c r="I356" s="351"/>
      <c r="J356" s="433"/>
      <c r="K356" s="546"/>
      <c r="L356" s="351"/>
      <c r="M356" s="456"/>
      <c r="N356" s="353"/>
      <c r="O356" s="433"/>
    </row>
    <row r="357">
      <c r="A357" s="433"/>
      <c r="B357" s="456"/>
      <c r="C357" s="433"/>
      <c r="D357" s="433"/>
      <c r="E357" s="545"/>
      <c r="F357" s="353"/>
      <c r="G357" s="456"/>
      <c r="H357" s="455"/>
      <c r="I357" s="351"/>
      <c r="J357" s="433"/>
      <c r="K357" s="546"/>
      <c r="L357" s="351"/>
      <c r="M357" s="456"/>
      <c r="N357" s="353"/>
      <c r="O357" s="433"/>
    </row>
    <row r="358">
      <c r="A358" s="433"/>
      <c r="B358" s="456"/>
      <c r="C358" s="433"/>
      <c r="D358" s="433"/>
      <c r="E358" s="545"/>
      <c r="F358" s="353"/>
      <c r="G358" s="456"/>
      <c r="H358" s="455"/>
      <c r="I358" s="351"/>
      <c r="J358" s="433"/>
      <c r="K358" s="546"/>
      <c r="L358" s="351"/>
      <c r="M358" s="456"/>
      <c r="N358" s="353"/>
      <c r="O358" s="433"/>
    </row>
    <row r="359">
      <c r="A359" s="433"/>
      <c r="B359" s="456"/>
      <c r="C359" s="433"/>
      <c r="D359" s="433"/>
      <c r="E359" s="545"/>
      <c r="F359" s="353"/>
      <c r="G359" s="456"/>
      <c r="H359" s="455"/>
      <c r="I359" s="351"/>
      <c r="J359" s="433"/>
      <c r="K359" s="546"/>
      <c r="L359" s="351"/>
      <c r="M359" s="456"/>
      <c r="N359" s="353"/>
      <c r="O359" s="433"/>
    </row>
    <row r="360">
      <c r="A360" s="433"/>
      <c r="B360" s="456"/>
      <c r="C360" s="433"/>
      <c r="D360" s="433"/>
      <c r="E360" s="545"/>
      <c r="F360" s="353"/>
      <c r="G360" s="456"/>
      <c r="H360" s="455"/>
      <c r="I360" s="351"/>
      <c r="J360" s="433"/>
      <c r="K360" s="546"/>
      <c r="L360" s="351"/>
      <c r="M360" s="456"/>
      <c r="N360" s="353"/>
      <c r="O360" s="433"/>
    </row>
    <row r="361">
      <c r="A361" s="433"/>
      <c r="B361" s="456"/>
      <c r="C361" s="433"/>
      <c r="D361" s="433"/>
      <c r="E361" s="545"/>
      <c r="F361" s="353"/>
      <c r="G361" s="456"/>
      <c r="H361" s="455"/>
      <c r="I361" s="351"/>
      <c r="J361" s="433"/>
      <c r="K361" s="546"/>
      <c r="L361" s="351"/>
      <c r="M361" s="456"/>
      <c r="N361" s="353"/>
      <c r="O361" s="433"/>
    </row>
    <row r="362">
      <c r="A362" s="433"/>
      <c r="B362" s="456"/>
      <c r="C362" s="433"/>
      <c r="D362" s="433"/>
      <c r="E362" s="545"/>
      <c r="F362" s="353"/>
      <c r="G362" s="456"/>
      <c r="H362" s="455"/>
      <c r="I362" s="351"/>
      <c r="J362" s="433"/>
      <c r="K362" s="546"/>
      <c r="L362" s="351"/>
      <c r="M362" s="456"/>
      <c r="N362" s="353"/>
      <c r="O362" s="433"/>
    </row>
    <row r="363">
      <c r="A363" s="433"/>
      <c r="B363" s="456"/>
      <c r="C363" s="433"/>
      <c r="D363" s="433"/>
      <c r="E363" s="545"/>
      <c r="F363" s="353"/>
      <c r="G363" s="456"/>
      <c r="H363" s="455"/>
      <c r="I363" s="351"/>
      <c r="J363" s="433"/>
      <c r="K363" s="546"/>
      <c r="L363" s="351"/>
      <c r="M363" s="456"/>
      <c r="N363" s="353"/>
      <c r="O363" s="433"/>
    </row>
    <row r="364">
      <c r="A364" s="433"/>
      <c r="B364" s="456"/>
      <c r="C364" s="433"/>
      <c r="D364" s="433"/>
      <c r="E364" s="545"/>
      <c r="F364" s="353"/>
      <c r="G364" s="456"/>
      <c r="H364" s="455"/>
      <c r="I364" s="351"/>
      <c r="J364" s="433"/>
      <c r="K364" s="546"/>
      <c r="L364" s="351"/>
      <c r="M364" s="456"/>
      <c r="N364" s="353"/>
      <c r="O364" s="433"/>
    </row>
    <row r="365">
      <c r="A365" s="433"/>
      <c r="B365" s="456"/>
      <c r="C365" s="433"/>
      <c r="D365" s="433"/>
      <c r="E365" s="545"/>
      <c r="F365" s="353"/>
      <c r="G365" s="456"/>
      <c r="H365" s="455"/>
      <c r="I365" s="351"/>
      <c r="J365" s="433"/>
      <c r="K365" s="546"/>
      <c r="L365" s="351"/>
      <c r="M365" s="456"/>
      <c r="N365" s="353"/>
      <c r="O365" s="433"/>
    </row>
    <row r="366">
      <c r="A366" s="433"/>
      <c r="B366" s="456"/>
      <c r="C366" s="433"/>
      <c r="D366" s="433"/>
      <c r="E366" s="545"/>
      <c r="F366" s="353"/>
      <c r="G366" s="456"/>
      <c r="H366" s="455"/>
      <c r="I366" s="351"/>
      <c r="J366" s="433"/>
      <c r="K366" s="546"/>
      <c r="L366" s="351"/>
      <c r="M366" s="456"/>
      <c r="N366" s="353"/>
      <c r="O366" s="433"/>
    </row>
    <row r="367">
      <c r="A367" s="433"/>
      <c r="B367" s="456"/>
      <c r="C367" s="433"/>
      <c r="D367" s="433"/>
      <c r="E367" s="545"/>
      <c r="F367" s="353"/>
      <c r="G367" s="456"/>
      <c r="H367" s="455"/>
      <c r="I367" s="351"/>
      <c r="J367" s="433"/>
      <c r="K367" s="546"/>
      <c r="L367" s="351"/>
      <c r="M367" s="456"/>
      <c r="N367" s="353"/>
      <c r="O367" s="433"/>
    </row>
    <row r="368">
      <c r="A368" s="433"/>
      <c r="B368" s="456"/>
      <c r="C368" s="433"/>
      <c r="D368" s="433"/>
      <c r="E368" s="545"/>
      <c r="F368" s="353"/>
      <c r="G368" s="456"/>
      <c r="H368" s="455"/>
      <c r="I368" s="351"/>
      <c r="J368" s="433"/>
      <c r="K368" s="546"/>
      <c r="L368" s="351"/>
      <c r="M368" s="456"/>
      <c r="N368" s="353"/>
      <c r="O368" s="433"/>
    </row>
    <row r="369">
      <c r="A369" s="433"/>
      <c r="B369" s="456"/>
      <c r="C369" s="433"/>
      <c r="D369" s="433"/>
      <c r="E369" s="545"/>
      <c r="F369" s="353"/>
      <c r="G369" s="456"/>
      <c r="H369" s="455"/>
      <c r="I369" s="351"/>
      <c r="J369" s="433"/>
      <c r="K369" s="546"/>
      <c r="L369" s="351"/>
      <c r="M369" s="456"/>
      <c r="N369" s="353"/>
      <c r="O369" s="433"/>
    </row>
    <row r="370">
      <c r="A370" s="433"/>
      <c r="B370" s="456"/>
      <c r="C370" s="433"/>
      <c r="D370" s="433"/>
      <c r="E370" s="545"/>
      <c r="F370" s="353"/>
      <c r="G370" s="456"/>
      <c r="H370" s="455"/>
      <c r="I370" s="351"/>
      <c r="J370" s="433"/>
      <c r="K370" s="546"/>
      <c r="L370" s="351"/>
      <c r="M370" s="456"/>
      <c r="N370" s="353"/>
      <c r="O370" s="433"/>
    </row>
    <row r="371">
      <c r="A371" s="433"/>
      <c r="B371" s="456"/>
      <c r="C371" s="433"/>
      <c r="D371" s="433"/>
      <c r="E371" s="545"/>
      <c r="F371" s="353"/>
      <c r="G371" s="456"/>
      <c r="H371" s="455"/>
      <c r="I371" s="351"/>
      <c r="J371" s="433"/>
      <c r="K371" s="546"/>
      <c r="L371" s="351"/>
      <c r="M371" s="456"/>
      <c r="N371" s="353"/>
      <c r="O371" s="433"/>
    </row>
    <row r="372">
      <c r="A372" s="433"/>
      <c r="B372" s="456"/>
      <c r="C372" s="433"/>
      <c r="D372" s="433"/>
      <c r="E372" s="545"/>
      <c r="F372" s="353"/>
      <c r="G372" s="456"/>
      <c r="H372" s="455"/>
      <c r="I372" s="351"/>
      <c r="J372" s="433"/>
      <c r="K372" s="546"/>
      <c r="L372" s="351"/>
      <c r="M372" s="456"/>
      <c r="N372" s="353"/>
      <c r="O372" s="433"/>
    </row>
    <row r="373">
      <c r="A373" s="433"/>
      <c r="B373" s="456"/>
      <c r="C373" s="433"/>
      <c r="D373" s="433"/>
      <c r="E373" s="545"/>
      <c r="F373" s="353"/>
      <c r="G373" s="456"/>
      <c r="H373" s="455"/>
      <c r="I373" s="351"/>
      <c r="J373" s="433"/>
      <c r="K373" s="546"/>
      <c r="L373" s="351"/>
      <c r="M373" s="456"/>
      <c r="N373" s="353"/>
      <c r="O373" s="433"/>
    </row>
    <row r="374">
      <c r="A374" s="433"/>
      <c r="B374" s="456"/>
      <c r="C374" s="433"/>
      <c r="D374" s="433"/>
      <c r="E374" s="545"/>
      <c r="F374" s="353"/>
      <c r="G374" s="456"/>
      <c r="H374" s="455"/>
      <c r="I374" s="351"/>
      <c r="J374" s="433"/>
      <c r="K374" s="546"/>
      <c r="L374" s="351"/>
      <c r="M374" s="456"/>
      <c r="N374" s="353"/>
      <c r="O374" s="433"/>
    </row>
    <row r="375">
      <c r="A375" s="433"/>
      <c r="B375" s="456"/>
      <c r="C375" s="433"/>
      <c r="D375" s="433"/>
      <c r="E375" s="545"/>
      <c r="F375" s="353"/>
      <c r="G375" s="456"/>
      <c r="H375" s="455"/>
      <c r="I375" s="351"/>
      <c r="J375" s="433"/>
      <c r="K375" s="546"/>
      <c r="L375" s="351"/>
      <c r="M375" s="456"/>
      <c r="N375" s="353"/>
      <c r="O375" s="433"/>
    </row>
    <row r="376">
      <c r="A376" s="433"/>
      <c r="B376" s="456"/>
      <c r="C376" s="433"/>
      <c r="D376" s="433"/>
      <c r="E376" s="545"/>
      <c r="F376" s="353"/>
      <c r="G376" s="456"/>
      <c r="H376" s="455"/>
      <c r="I376" s="351"/>
      <c r="J376" s="433"/>
      <c r="K376" s="546"/>
      <c r="L376" s="351"/>
      <c r="M376" s="456"/>
      <c r="N376" s="353"/>
      <c r="O376" s="433"/>
    </row>
    <row r="377">
      <c r="A377" s="433"/>
      <c r="B377" s="456"/>
      <c r="C377" s="433"/>
      <c r="D377" s="433"/>
      <c r="E377" s="545"/>
      <c r="F377" s="353"/>
      <c r="G377" s="456"/>
      <c r="H377" s="455"/>
      <c r="I377" s="351"/>
      <c r="J377" s="433"/>
      <c r="K377" s="546"/>
      <c r="L377" s="351"/>
      <c r="M377" s="456"/>
      <c r="N377" s="353"/>
      <c r="O377" s="433"/>
    </row>
    <row r="378">
      <c r="A378" s="433"/>
      <c r="B378" s="456"/>
      <c r="C378" s="433"/>
      <c r="D378" s="433"/>
      <c r="E378" s="545"/>
      <c r="F378" s="353"/>
      <c r="G378" s="456"/>
      <c r="H378" s="455"/>
      <c r="I378" s="351"/>
      <c r="J378" s="433"/>
      <c r="K378" s="546"/>
      <c r="L378" s="351"/>
      <c r="M378" s="456"/>
      <c r="N378" s="353"/>
      <c r="O378" s="433"/>
    </row>
    <row r="379">
      <c r="A379" s="433"/>
      <c r="B379" s="456"/>
      <c r="C379" s="433"/>
      <c r="D379" s="433"/>
      <c r="E379" s="545"/>
      <c r="F379" s="353"/>
      <c r="G379" s="456"/>
      <c r="H379" s="455"/>
      <c r="I379" s="351"/>
      <c r="J379" s="433"/>
      <c r="K379" s="546"/>
      <c r="L379" s="351"/>
      <c r="M379" s="456"/>
      <c r="N379" s="353"/>
      <c r="O379" s="433"/>
    </row>
    <row r="380">
      <c r="A380" s="433"/>
      <c r="B380" s="456"/>
      <c r="C380" s="433"/>
      <c r="D380" s="433"/>
      <c r="E380" s="545"/>
      <c r="F380" s="353"/>
      <c r="G380" s="456"/>
      <c r="H380" s="455"/>
      <c r="I380" s="351"/>
      <c r="J380" s="433"/>
      <c r="K380" s="546"/>
      <c r="L380" s="351"/>
      <c r="M380" s="456"/>
      <c r="N380" s="353"/>
      <c r="O380" s="433"/>
    </row>
    <row r="381">
      <c r="A381" s="433"/>
      <c r="B381" s="456"/>
      <c r="C381" s="433"/>
      <c r="D381" s="433"/>
      <c r="E381" s="545"/>
      <c r="F381" s="353"/>
      <c r="G381" s="456"/>
      <c r="H381" s="455"/>
      <c r="I381" s="351"/>
      <c r="J381" s="433"/>
      <c r="K381" s="546"/>
      <c r="L381" s="351"/>
      <c r="M381" s="456"/>
      <c r="N381" s="353"/>
      <c r="O381" s="433"/>
    </row>
    <row r="382">
      <c r="A382" s="433"/>
      <c r="B382" s="456"/>
      <c r="C382" s="433"/>
      <c r="D382" s="433"/>
      <c r="E382" s="545"/>
      <c r="F382" s="353"/>
      <c r="G382" s="456"/>
      <c r="H382" s="455"/>
      <c r="I382" s="351"/>
      <c r="J382" s="433"/>
      <c r="K382" s="546"/>
      <c r="L382" s="351"/>
      <c r="M382" s="456"/>
      <c r="N382" s="353"/>
      <c r="O382" s="433"/>
    </row>
    <row r="383">
      <c r="A383" s="433"/>
      <c r="B383" s="456"/>
      <c r="C383" s="433"/>
      <c r="D383" s="433"/>
      <c r="E383" s="545"/>
      <c r="F383" s="353"/>
      <c r="G383" s="456"/>
      <c r="H383" s="455"/>
      <c r="I383" s="351"/>
      <c r="J383" s="433"/>
      <c r="K383" s="546"/>
      <c r="L383" s="351"/>
      <c r="M383" s="456"/>
      <c r="N383" s="353"/>
      <c r="O383" s="433"/>
    </row>
    <row r="384">
      <c r="A384" s="433"/>
      <c r="B384" s="456"/>
      <c r="C384" s="433"/>
      <c r="D384" s="433"/>
      <c r="E384" s="545"/>
      <c r="F384" s="353"/>
      <c r="G384" s="456"/>
      <c r="H384" s="455"/>
      <c r="I384" s="351"/>
      <c r="J384" s="433"/>
      <c r="K384" s="546"/>
      <c r="L384" s="351"/>
      <c r="M384" s="456"/>
      <c r="N384" s="353"/>
      <c r="O384" s="433"/>
    </row>
    <row r="385">
      <c r="A385" s="433"/>
      <c r="B385" s="456"/>
      <c r="C385" s="433"/>
      <c r="D385" s="433"/>
      <c r="E385" s="545"/>
      <c r="F385" s="353"/>
      <c r="G385" s="456"/>
      <c r="H385" s="455"/>
      <c r="I385" s="351"/>
      <c r="J385" s="433"/>
      <c r="K385" s="546"/>
      <c r="L385" s="351"/>
      <c r="M385" s="456"/>
      <c r="N385" s="353"/>
      <c r="O385" s="433"/>
    </row>
    <row r="386">
      <c r="A386" s="433"/>
      <c r="B386" s="456"/>
      <c r="C386" s="433"/>
      <c r="D386" s="433"/>
      <c r="E386" s="545"/>
      <c r="F386" s="353"/>
      <c r="G386" s="456"/>
      <c r="H386" s="455"/>
      <c r="I386" s="351"/>
      <c r="J386" s="433"/>
      <c r="K386" s="546"/>
      <c r="L386" s="351"/>
      <c r="M386" s="456"/>
      <c r="N386" s="353"/>
      <c r="O386" s="433"/>
    </row>
    <row r="387">
      <c r="A387" s="433"/>
      <c r="B387" s="456"/>
      <c r="C387" s="433"/>
      <c r="D387" s="433"/>
      <c r="E387" s="545"/>
      <c r="F387" s="353"/>
      <c r="G387" s="456"/>
      <c r="H387" s="455"/>
      <c r="I387" s="351"/>
      <c r="J387" s="433"/>
      <c r="K387" s="546"/>
      <c r="L387" s="351"/>
      <c r="M387" s="456"/>
      <c r="N387" s="353"/>
      <c r="O387" s="433"/>
    </row>
    <row r="388">
      <c r="A388" s="433"/>
      <c r="B388" s="456"/>
      <c r="C388" s="433"/>
      <c r="D388" s="433"/>
      <c r="E388" s="545"/>
      <c r="F388" s="353"/>
      <c r="G388" s="456"/>
      <c r="H388" s="455"/>
      <c r="I388" s="351"/>
      <c r="J388" s="433"/>
      <c r="K388" s="546"/>
      <c r="L388" s="351"/>
      <c r="M388" s="456"/>
      <c r="N388" s="353"/>
      <c r="O388" s="433"/>
    </row>
    <row r="389">
      <c r="A389" s="433"/>
      <c r="B389" s="456"/>
      <c r="C389" s="433"/>
      <c r="D389" s="433"/>
      <c r="E389" s="545"/>
      <c r="F389" s="353"/>
      <c r="G389" s="456"/>
      <c r="H389" s="455"/>
      <c r="I389" s="351"/>
      <c r="J389" s="433"/>
      <c r="K389" s="546"/>
      <c r="L389" s="351"/>
      <c r="M389" s="456"/>
      <c r="N389" s="353"/>
      <c r="O389" s="433"/>
    </row>
    <row r="390">
      <c r="A390" s="433"/>
      <c r="B390" s="456"/>
      <c r="C390" s="433"/>
      <c r="D390" s="433"/>
      <c r="E390" s="545"/>
      <c r="F390" s="353"/>
      <c r="G390" s="456"/>
      <c r="H390" s="455"/>
      <c r="I390" s="351"/>
      <c r="J390" s="433"/>
      <c r="K390" s="546"/>
      <c r="L390" s="351"/>
      <c r="M390" s="456"/>
      <c r="N390" s="353"/>
      <c r="O390" s="433"/>
    </row>
    <row r="391">
      <c r="A391" s="433"/>
      <c r="B391" s="456"/>
      <c r="C391" s="433"/>
      <c r="D391" s="433"/>
      <c r="E391" s="545"/>
      <c r="F391" s="353"/>
      <c r="G391" s="456"/>
      <c r="H391" s="455"/>
      <c r="I391" s="351"/>
      <c r="J391" s="433"/>
      <c r="K391" s="546"/>
      <c r="L391" s="351"/>
      <c r="M391" s="456"/>
      <c r="N391" s="353"/>
      <c r="O391" s="433"/>
    </row>
    <row r="392">
      <c r="A392" s="433"/>
      <c r="B392" s="456"/>
      <c r="C392" s="433"/>
      <c r="D392" s="433"/>
      <c r="E392" s="545"/>
      <c r="F392" s="353"/>
      <c r="G392" s="456"/>
      <c r="H392" s="455"/>
      <c r="I392" s="351"/>
      <c r="J392" s="433"/>
      <c r="K392" s="546"/>
      <c r="L392" s="351"/>
      <c r="M392" s="456"/>
      <c r="N392" s="353"/>
      <c r="O392" s="433"/>
    </row>
    <row r="393">
      <c r="A393" s="433"/>
      <c r="B393" s="456"/>
      <c r="C393" s="433"/>
      <c r="D393" s="433"/>
      <c r="E393" s="545"/>
      <c r="F393" s="353"/>
      <c r="G393" s="456"/>
      <c r="H393" s="455"/>
      <c r="I393" s="351"/>
      <c r="J393" s="433"/>
      <c r="K393" s="546"/>
      <c r="L393" s="351"/>
      <c r="M393" s="456"/>
      <c r="N393" s="353"/>
      <c r="O393" s="433"/>
    </row>
    <row r="394">
      <c r="A394" s="433"/>
      <c r="B394" s="456"/>
      <c r="C394" s="433"/>
      <c r="D394" s="433"/>
      <c r="E394" s="545"/>
      <c r="F394" s="353"/>
      <c r="G394" s="456"/>
      <c r="H394" s="455"/>
      <c r="I394" s="351"/>
      <c r="J394" s="433"/>
      <c r="K394" s="546"/>
      <c r="L394" s="351"/>
      <c r="M394" s="456"/>
      <c r="N394" s="353"/>
      <c r="O394" s="433"/>
    </row>
    <row r="395">
      <c r="A395" s="433"/>
      <c r="B395" s="456"/>
      <c r="C395" s="433"/>
      <c r="D395" s="433"/>
      <c r="E395" s="545"/>
      <c r="F395" s="353"/>
      <c r="G395" s="456"/>
      <c r="H395" s="455"/>
      <c r="I395" s="351"/>
      <c r="J395" s="433"/>
      <c r="K395" s="546"/>
      <c r="L395" s="351"/>
      <c r="M395" s="456"/>
      <c r="N395" s="353"/>
      <c r="O395" s="433"/>
    </row>
    <row r="396">
      <c r="A396" s="433"/>
      <c r="B396" s="456"/>
      <c r="C396" s="433"/>
      <c r="D396" s="433"/>
      <c r="E396" s="545"/>
      <c r="F396" s="353"/>
      <c r="G396" s="456"/>
      <c r="H396" s="455"/>
      <c r="I396" s="351"/>
      <c r="J396" s="433"/>
      <c r="K396" s="546"/>
      <c r="L396" s="351"/>
      <c r="M396" s="456"/>
      <c r="N396" s="353"/>
      <c r="O396" s="433"/>
    </row>
    <row r="397">
      <c r="A397" s="433"/>
      <c r="B397" s="456"/>
      <c r="C397" s="433"/>
      <c r="D397" s="433"/>
      <c r="E397" s="545"/>
      <c r="F397" s="353"/>
      <c r="G397" s="456"/>
      <c r="H397" s="455"/>
      <c r="I397" s="351"/>
      <c r="J397" s="433"/>
      <c r="K397" s="546"/>
      <c r="L397" s="351"/>
      <c r="M397" s="456"/>
      <c r="N397" s="353"/>
      <c r="O397" s="433"/>
    </row>
    <row r="398">
      <c r="A398" s="433"/>
      <c r="B398" s="456"/>
      <c r="C398" s="433"/>
      <c r="D398" s="433"/>
      <c r="E398" s="545"/>
      <c r="F398" s="353"/>
      <c r="G398" s="456"/>
      <c r="H398" s="455"/>
      <c r="I398" s="351"/>
      <c r="J398" s="433"/>
      <c r="K398" s="546"/>
      <c r="L398" s="351"/>
      <c r="M398" s="456"/>
      <c r="N398" s="353"/>
      <c r="O398" s="433"/>
    </row>
    <row r="399">
      <c r="A399" s="433"/>
      <c r="B399" s="456"/>
      <c r="C399" s="433"/>
      <c r="D399" s="433"/>
      <c r="E399" s="545"/>
      <c r="F399" s="353"/>
      <c r="G399" s="456"/>
      <c r="H399" s="455"/>
      <c r="I399" s="351"/>
      <c r="J399" s="433"/>
      <c r="K399" s="546"/>
      <c r="L399" s="351"/>
      <c r="M399" s="456"/>
      <c r="N399" s="353"/>
      <c r="O399" s="433"/>
    </row>
    <row r="400">
      <c r="A400" s="433"/>
      <c r="B400" s="456"/>
      <c r="C400" s="433"/>
      <c r="D400" s="433"/>
      <c r="E400" s="545"/>
      <c r="F400" s="353"/>
      <c r="G400" s="456"/>
      <c r="H400" s="455"/>
      <c r="I400" s="351"/>
      <c r="J400" s="433"/>
      <c r="K400" s="546"/>
      <c r="L400" s="351"/>
      <c r="M400" s="456"/>
      <c r="N400" s="353"/>
      <c r="O400" s="433"/>
    </row>
    <row r="401">
      <c r="A401" s="433"/>
      <c r="B401" s="456"/>
      <c r="C401" s="433"/>
      <c r="D401" s="433"/>
      <c r="E401" s="545"/>
      <c r="F401" s="353"/>
      <c r="G401" s="456"/>
      <c r="H401" s="455"/>
      <c r="I401" s="351"/>
      <c r="J401" s="433"/>
      <c r="K401" s="546"/>
      <c r="L401" s="351"/>
      <c r="M401" s="456"/>
      <c r="N401" s="353"/>
      <c r="O401" s="433"/>
    </row>
    <row r="402">
      <c r="A402" s="433"/>
      <c r="B402" s="456"/>
      <c r="C402" s="433"/>
      <c r="D402" s="433"/>
      <c r="E402" s="545"/>
      <c r="F402" s="353"/>
      <c r="G402" s="456"/>
      <c r="H402" s="455"/>
      <c r="I402" s="351"/>
      <c r="J402" s="433"/>
      <c r="K402" s="546"/>
      <c r="L402" s="351"/>
      <c r="M402" s="456"/>
      <c r="N402" s="353"/>
      <c r="O402" s="433"/>
    </row>
    <row r="403">
      <c r="A403" s="433"/>
      <c r="B403" s="456"/>
      <c r="C403" s="433"/>
      <c r="D403" s="433"/>
      <c r="E403" s="545"/>
      <c r="F403" s="353"/>
      <c r="G403" s="456"/>
      <c r="H403" s="455"/>
      <c r="I403" s="351"/>
      <c r="J403" s="433"/>
      <c r="K403" s="546"/>
      <c r="L403" s="351"/>
      <c r="M403" s="456"/>
      <c r="N403" s="353"/>
      <c r="O403" s="433"/>
    </row>
    <row r="404">
      <c r="A404" s="433"/>
      <c r="B404" s="456"/>
      <c r="C404" s="433"/>
      <c r="D404" s="433"/>
      <c r="E404" s="545"/>
      <c r="F404" s="353"/>
      <c r="G404" s="456"/>
      <c r="H404" s="455"/>
      <c r="I404" s="351"/>
      <c r="J404" s="433"/>
      <c r="K404" s="546"/>
      <c r="L404" s="351"/>
      <c r="M404" s="456"/>
      <c r="N404" s="353"/>
      <c r="O404" s="433"/>
    </row>
    <row r="405">
      <c r="A405" s="433"/>
      <c r="B405" s="456"/>
      <c r="C405" s="433"/>
      <c r="D405" s="433"/>
      <c r="E405" s="545"/>
      <c r="F405" s="353"/>
      <c r="G405" s="456"/>
      <c r="H405" s="455"/>
      <c r="I405" s="351"/>
      <c r="J405" s="433"/>
      <c r="K405" s="546"/>
      <c r="L405" s="351"/>
      <c r="M405" s="456"/>
      <c r="N405" s="353"/>
      <c r="O405" s="433"/>
    </row>
    <row r="406">
      <c r="A406" s="433"/>
      <c r="B406" s="456"/>
      <c r="C406" s="433"/>
      <c r="D406" s="433"/>
      <c r="E406" s="545"/>
      <c r="F406" s="353"/>
      <c r="G406" s="456"/>
      <c r="H406" s="455"/>
      <c r="I406" s="351"/>
      <c r="J406" s="433"/>
      <c r="K406" s="546"/>
      <c r="L406" s="351"/>
      <c r="M406" s="456"/>
      <c r="N406" s="353"/>
      <c r="O406" s="433"/>
    </row>
    <row r="407">
      <c r="A407" s="433"/>
      <c r="B407" s="456"/>
      <c r="C407" s="433"/>
      <c r="D407" s="433"/>
      <c r="E407" s="545"/>
      <c r="F407" s="353"/>
      <c r="G407" s="456"/>
      <c r="H407" s="455"/>
      <c r="I407" s="351"/>
      <c r="J407" s="433"/>
      <c r="K407" s="546"/>
      <c r="L407" s="351"/>
      <c r="M407" s="456"/>
      <c r="N407" s="353"/>
      <c r="O407" s="433"/>
    </row>
    <row r="408">
      <c r="A408" s="433"/>
      <c r="B408" s="456"/>
      <c r="C408" s="433"/>
      <c r="D408" s="433"/>
      <c r="E408" s="545"/>
      <c r="F408" s="353"/>
      <c r="G408" s="456"/>
      <c r="H408" s="455"/>
      <c r="I408" s="351"/>
      <c r="J408" s="433"/>
      <c r="K408" s="546"/>
      <c r="L408" s="351"/>
      <c r="M408" s="456"/>
      <c r="N408" s="353"/>
      <c r="O408" s="433"/>
    </row>
    <row r="409">
      <c r="A409" s="433"/>
      <c r="B409" s="456"/>
      <c r="C409" s="433"/>
      <c r="D409" s="433"/>
      <c r="E409" s="545"/>
      <c r="F409" s="353"/>
      <c r="G409" s="456"/>
      <c r="H409" s="455"/>
      <c r="I409" s="351"/>
      <c r="J409" s="433"/>
      <c r="K409" s="546"/>
      <c r="L409" s="351"/>
      <c r="M409" s="456"/>
      <c r="N409" s="353"/>
      <c r="O409" s="433"/>
    </row>
    <row r="410">
      <c r="A410" s="433"/>
      <c r="B410" s="456"/>
      <c r="C410" s="433"/>
      <c r="D410" s="433"/>
      <c r="E410" s="545"/>
      <c r="F410" s="353"/>
      <c r="G410" s="456"/>
      <c r="H410" s="455"/>
      <c r="I410" s="351"/>
      <c r="J410" s="433"/>
      <c r="K410" s="546"/>
      <c r="L410" s="351"/>
      <c r="M410" s="456"/>
      <c r="N410" s="353"/>
      <c r="O410" s="433"/>
    </row>
    <row r="411">
      <c r="A411" s="433"/>
      <c r="B411" s="456"/>
      <c r="C411" s="433"/>
      <c r="D411" s="433"/>
      <c r="E411" s="545"/>
      <c r="F411" s="353"/>
      <c r="G411" s="456"/>
      <c r="H411" s="455"/>
      <c r="I411" s="351"/>
      <c r="J411" s="433"/>
      <c r="K411" s="546"/>
      <c r="L411" s="351"/>
      <c r="M411" s="456"/>
      <c r="N411" s="353"/>
      <c r="O411" s="433"/>
    </row>
    <row r="412">
      <c r="A412" s="433"/>
      <c r="B412" s="456"/>
      <c r="C412" s="433"/>
      <c r="D412" s="433"/>
      <c r="E412" s="545"/>
      <c r="F412" s="353"/>
      <c r="G412" s="456"/>
      <c r="H412" s="455"/>
      <c r="I412" s="351"/>
      <c r="J412" s="433"/>
      <c r="K412" s="546"/>
      <c r="L412" s="351"/>
      <c r="M412" s="456"/>
      <c r="N412" s="353"/>
      <c r="O412" s="433"/>
    </row>
    <row r="413">
      <c r="A413" s="433"/>
      <c r="B413" s="456"/>
      <c r="C413" s="433"/>
      <c r="D413" s="433"/>
      <c r="E413" s="545"/>
      <c r="F413" s="353"/>
      <c r="G413" s="456"/>
      <c r="H413" s="455"/>
      <c r="I413" s="351"/>
      <c r="J413" s="433"/>
      <c r="K413" s="546"/>
      <c r="L413" s="351"/>
      <c r="M413" s="456"/>
      <c r="N413" s="353"/>
      <c r="O413" s="433"/>
    </row>
    <row r="414">
      <c r="A414" s="433"/>
      <c r="B414" s="456"/>
      <c r="C414" s="433"/>
      <c r="D414" s="433"/>
      <c r="E414" s="545"/>
      <c r="F414" s="353"/>
      <c r="G414" s="456"/>
      <c r="H414" s="455"/>
      <c r="I414" s="351"/>
      <c r="J414" s="433"/>
      <c r="K414" s="546"/>
      <c r="L414" s="351"/>
      <c r="M414" s="456"/>
      <c r="N414" s="353"/>
      <c r="O414" s="433"/>
    </row>
    <row r="415">
      <c r="A415" s="433"/>
      <c r="B415" s="456"/>
      <c r="C415" s="433"/>
      <c r="D415" s="433"/>
      <c r="E415" s="545"/>
      <c r="F415" s="353"/>
      <c r="G415" s="456"/>
      <c r="H415" s="455"/>
      <c r="I415" s="351"/>
      <c r="J415" s="433"/>
      <c r="K415" s="546"/>
      <c r="L415" s="351"/>
      <c r="M415" s="456"/>
      <c r="N415" s="353"/>
      <c r="O415" s="433"/>
    </row>
    <row r="416">
      <c r="A416" s="433"/>
      <c r="B416" s="456"/>
      <c r="C416" s="433"/>
      <c r="D416" s="433"/>
      <c r="E416" s="545"/>
      <c r="F416" s="353"/>
      <c r="G416" s="456"/>
      <c r="H416" s="455"/>
      <c r="I416" s="351"/>
      <c r="J416" s="433"/>
      <c r="K416" s="546"/>
      <c r="L416" s="351"/>
      <c r="M416" s="456"/>
      <c r="N416" s="353"/>
      <c r="O416" s="433"/>
    </row>
    <row r="417">
      <c r="A417" s="433"/>
      <c r="B417" s="456"/>
      <c r="C417" s="433"/>
      <c r="D417" s="433"/>
      <c r="E417" s="545"/>
      <c r="F417" s="353"/>
      <c r="G417" s="456"/>
      <c r="H417" s="455"/>
      <c r="I417" s="351"/>
      <c r="J417" s="433"/>
      <c r="K417" s="546"/>
      <c r="L417" s="351"/>
      <c r="M417" s="456"/>
      <c r="N417" s="353"/>
      <c r="O417" s="433"/>
    </row>
    <row r="418">
      <c r="A418" s="433"/>
      <c r="B418" s="456"/>
      <c r="C418" s="433"/>
      <c r="D418" s="433"/>
      <c r="E418" s="545"/>
      <c r="F418" s="353"/>
      <c r="G418" s="456"/>
      <c r="H418" s="455"/>
      <c r="I418" s="351"/>
      <c r="J418" s="433"/>
      <c r="K418" s="546"/>
      <c r="L418" s="351"/>
      <c r="M418" s="456"/>
      <c r="N418" s="353"/>
      <c r="O418" s="433"/>
    </row>
    <row r="419">
      <c r="A419" s="433"/>
      <c r="B419" s="456"/>
      <c r="C419" s="433"/>
      <c r="D419" s="433"/>
      <c r="E419" s="545"/>
      <c r="F419" s="353"/>
      <c r="G419" s="456"/>
      <c r="H419" s="455"/>
      <c r="I419" s="351"/>
      <c r="J419" s="433"/>
      <c r="K419" s="546"/>
      <c r="L419" s="351"/>
      <c r="M419" s="456"/>
      <c r="N419" s="353"/>
      <c r="O419" s="433"/>
    </row>
    <row r="420">
      <c r="A420" s="433"/>
      <c r="B420" s="456"/>
      <c r="C420" s="433"/>
      <c r="D420" s="433"/>
      <c r="E420" s="545"/>
      <c r="F420" s="353"/>
      <c r="G420" s="456"/>
      <c r="H420" s="455"/>
      <c r="I420" s="351"/>
      <c r="J420" s="433"/>
      <c r="K420" s="546"/>
      <c r="L420" s="351"/>
      <c r="M420" s="456"/>
      <c r="N420" s="353"/>
      <c r="O420" s="433"/>
    </row>
    <row r="421">
      <c r="A421" s="433"/>
      <c r="B421" s="456"/>
      <c r="C421" s="433"/>
      <c r="D421" s="433"/>
      <c r="E421" s="545"/>
      <c r="F421" s="353"/>
      <c r="G421" s="456"/>
      <c r="H421" s="455"/>
      <c r="I421" s="351"/>
      <c r="J421" s="433"/>
      <c r="K421" s="546"/>
      <c r="L421" s="351"/>
      <c r="M421" s="456"/>
      <c r="N421" s="353"/>
      <c r="O421" s="433"/>
    </row>
    <row r="422">
      <c r="A422" s="433"/>
      <c r="B422" s="456"/>
      <c r="C422" s="433"/>
      <c r="D422" s="433"/>
      <c r="E422" s="545"/>
      <c r="F422" s="353"/>
      <c r="G422" s="456"/>
      <c r="H422" s="455"/>
      <c r="I422" s="351"/>
      <c r="J422" s="433"/>
      <c r="K422" s="546"/>
      <c r="L422" s="351"/>
      <c r="M422" s="456"/>
      <c r="N422" s="353"/>
      <c r="O422" s="433"/>
    </row>
    <row r="423">
      <c r="A423" s="433"/>
      <c r="B423" s="456"/>
      <c r="C423" s="433"/>
      <c r="D423" s="433"/>
      <c r="E423" s="545"/>
      <c r="F423" s="353"/>
      <c r="G423" s="456"/>
      <c r="H423" s="455"/>
      <c r="I423" s="351"/>
      <c r="J423" s="433"/>
      <c r="K423" s="546"/>
      <c r="L423" s="351"/>
      <c r="M423" s="456"/>
      <c r="N423" s="353"/>
      <c r="O423" s="433"/>
    </row>
    <row r="424">
      <c r="A424" s="433"/>
      <c r="B424" s="456"/>
      <c r="C424" s="433"/>
      <c r="D424" s="433"/>
      <c r="E424" s="545"/>
      <c r="F424" s="353"/>
      <c r="G424" s="456"/>
      <c r="H424" s="455"/>
      <c r="I424" s="351"/>
      <c r="J424" s="433"/>
      <c r="K424" s="546"/>
      <c r="L424" s="351"/>
      <c r="M424" s="456"/>
      <c r="N424" s="353"/>
      <c r="O424" s="433"/>
    </row>
    <row r="425">
      <c r="A425" s="433"/>
      <c r="B425" s="456"/>
      <c r="C425" s="433"/>
      <c r="D425" s="433"/>
      <c r="E425" s="545"/>
      <c r="F425" s="353"/>
      <c r="G425" s="456"/>
      <c r="H425" s="455"/>
      <c r="I425" s="351"/>
      <c r="J425" s="433"/>
      <c r="K425" s="546"/>
      <c r="L425" s="351"/>
      <c r="M425" s="456"/>
      <c r="N425" s="353"/>
      <c r="O425" s="433"/>
    </row>
    <row r="426">
      <c r="A426" s="433"/>
      <c r="B426" s="456"/>
      <c r="C426" s="433"/>
      <c r="D426" s="433"/>
      <c r="E426" s="545"/>
      <c r="F426" s="353"/>
      <c r="G426" s="456"/>
      <c r="H426" s="455"/>
      <c r="I426" s="351"/>
      <c r="J426" s="433"/>
      <c r="K426" s="546"/>
      <c r="L426" s="351"/>
      <c r="M426" s="456"/>
      <c r="N426" s="353"/>
      <c r="O426" s="433"/>
    </row>
    <row r="427">
      <c r="A427" s="433"/>
      <c r="B427" s="456"/>
      <c r="C427" s="433"/>
      <c r="D427" s="433"/>
      <c r="E427" s="545"/>
      <c r="F427" s="353"/>
      <c r="G427" s="456"/>
      <c r="H427" s="455"/>
      <c r="I427" s="351"/>
      <c r="J427" s="433"/>
      <c r="K427" s="546"/>
      <c r="L427" s="351"/>
      <c r="M427" s="456"/>
      <c r="N427" s="353"/>
      <c r="O427" s="433"/>
    </row>
    <row r="428">
      <c r="A428" s="433"/>
      <c r="B428" s="456"/>
      <c r="C428" s="433"/>
      <c r="D428" s="433"/>
      <c r="E428" s="545"/>
      <c r="F428" s="353"/>
      <c r="G428" s="456"/>
      <c r="H428" s="455"/>
      <c r="I428" s="351"/>
      <c r="J428" s="433"/>
      <c r="K428" s="546"/>
      <c r="L428" s="351"/>
      <c r="M428" s="456"/>
      <c r="N428" s="353"/>
      <c r="O428" s="433"/>
    </row>
    <row r="429">
      <c r="A429" s="433"/>
      <c r="B429" s="456"/>
      <c r="C429" s="433"/>
      <c r="D429" s="433"/>
      <c r="E429" s="545"/>
      <c r="F429" s="353"/>
      <c r="G429" s="456"/>
      <c r="H429" s="455"/>
      <c r="I429" s="351"/>
      <c r="J429" s="433"/>
      <c r="K429" s="546"/>
      <c r="L429" s="351"/>
      <c r="M429" s="456"/>
      <c r="N429" s="353"/>
      <c r="O429" s="433"/>
    </row>
    <row r="430">
      <c r="A430" s="433"/>
      <c r="B430" s="456"/>
      <c r="C430" s="433"/>
      <c r="D430" s="433"/>
      <c r="E430" s="545"/>
      <c r="F430" s="353"/>
      <c r="G430" s="456"/>
      <c r="H430" s="455"/>
      <c r="I430" s="351"/>
      <c r="J430" s="433"/>
      <c r="K430" s="546"/>
      <c r="L430" s="351"/>
      <c r="M430" s="456"/>
      <c r="N430" s="353"/>
      <c r="O430" s="433"/>
    </row>
    <row r="431">
      <c r="A431" s="433"/>
      <c r="B431" s="456"/>
      <c r="C431" s="433"/>
      <c r="D431" s="433"/>
      <c r="E431" s="545"/>
      <c r="F431" s="353"/>
      <c r="G431" s="456"/>
      <c r="H431" s="455"/>
      <c r="I431" s="351"/>
      <c r="J431" s="433"/>
      <c r="K431" s="546"/>
      <c r="L431" s="351"/>
      <c r="M431" s="456"/>
      <c r="N431" s="353"/>
      <c r="O431" s="433"/>
    </row>
    <row r="432">
      <c r="A432" s="433"/>
      <c r="B432" s="456"/>
      <c r="C432" s="433"/>
      <c r="D432" s="433"/>
      <c r="E432" s="545"/>
      <c r="F432" s="353"/>
      <c r="G432" s="456"/>
      <c r="H432" s="455"/>
      <c r="I432" s="351"/>
      <c r="J432" s="433"/>
      <c r="K432" s="546"/>
      <c r="L432" s="351"/>
      <c r="M432" s="456"/>
      <c r="N432" s="353"/>
      <c r="O432" s="433"/>
    </row>
    <row r="433">
      <c r="A433" s="433"/>
      <c r="B433" s="456"/>
      <c r="C433" s="433"/>
      <c r="D433" s="433"/>
      <c r="E433" s="545"/>
      <c r="F433" s="353"/>
      <c r="G433" s="456"/>
      <c r="H433" s="455"/>
      <c r="I433" s="351"/>
      <c r="J433" s="433"/>
      <c r="K433" s="546"/>
      <c r="L433" s="351"/>
      <c r="M433" s="456"/>
      <c r="N433" s="353"/>
      <c r="O433" s="433"/>
    </row>
    <row r="434">
      <c r="A434" s="433"/>
      <c r="B434" s="456"/>
      <c r="C434" s="433"/>
      <c r="D434" s="433"/>
      <c r="E434" s="545"/>
      <c r="F434" s="353"/>
      <c r="G434" s="456"/>
      <c r="H434" s="455"/>
      <c r="I434" s="351"/>
      <c r="J434" s="433"/>
      <c r="K434" s="546"/>
      <c r="L434" s="351"/>
      <c r="M434" s="456"/>
      <c r="N434" s="353"/>
      <c r="O434" s="433"/>
    </row>
    <row r="435">
      <c r="A435" s="433"/>
      <c r="B435" s="456"/>
      <c r="C435" s="433"/>
      <c r="D435" s="433"/>
      <c r="E435" s="545"/>
      <c r="F435" s="353"/>
      <c r="G435" s="456"/>
      <c r="H435" s="455"/>
      <c r="I435" s="351"/>
      <c r="J435" s="433"/>
      <c r="K435" s="546"/>
      <c r="L435" s="351"/>
      <c r="M435" s="456"/>
      <c r="N435" s="353"/>
      <c r="O435" s="433"/>
    </row>
    <row r="436">
      <c r="A436" s="433"/>
      <c r="B436" s="456"/>
      <c r="C436" s="433"/>
      <c r="D436" s="433"/>
      <c r="E436" s="545"/>
      <c r="F436" s="353"/>
      <c r="G436" s="456"/>
      <c r="H436" s="455"/>
      <c r="I436" s="351"/>
      <c r="J436" s="433"/>
      <c r="K436" s="546"/>
      <c r="L436" s="351"/>
      <c r="M436" s="456"/>
      <c r="N436" s="353"/>
      <c r="O436" s="433"/>
    </row>
    <row r="437">
      <c r="A437" s="433"/>
      <c r="B437" s="456"/>
      <c r="C437" s="433"/>
      <c r="D437" s="433"/>
      <c r="E437" s="545"/>
      <c r="F437" s="353"/>
      <c r="G437" s="456"/>
      <c r="H437" s="455"/>
      <c r="I437" s="351"/>
      <c r="J437" s="433"/>
      <c r="K437" s="546"/>
      <c r="L437" s="351"/>
      <c r="M437" s="456"/>
      <c r="N437" s="353"/>
      <c r="O437" s="433"/>
    </row>
    <row r="438">
      <c r="A438" s="433"/>
      <c r="B438" s="456"/>
      <c r="C438" s="433"/>
      <c r="D438" s="433"/>
      <c r="E438" s="545"/>
      <c r="F438" s="353"/>
      <c r="G438" s="456"/>
      <c r="H438" s="455"/>
      <c r="I438" s="351"/>
      <c r="J438" s="433"/>
      <c r="K438" s="546"/>
      <c r="L438" s="351"/>
      <c r="M438" s="456"/>
      <c r="N438" s="353"/>
      <c r="O438" s="433"/>
    </row>
    <row r="439">
      <c r="A439" s="433"/>
      <c r="B439" s="456"/>
      <c r="C439" s="433"/>
      <c r="D439" s="433"/>
      <c r="E439" s="545"/>
      <c r="F439" s="353"/>
      <c r="G439" s="456"/>
      <c r="H439" s="455"/>
      <c r="I439" s="351"/>
      <c r="J439" s="433"/>
      <c r="K439" s="546"/>
      <c r="L439" s="351"/>
      <c r="M439" s="456"/>
      <c r="N439" s="353"/>
      <c r="O439" s="433"/>
    </row>
    <row r="440">
      <c r="A440" s="433"/>
      <c r="B440" s="456"/>
      <c r="C440" s="433"/>
      <c r="D440" s="433"/>
      <c r="E440" s="545"/>
      <c r="F440" s="353"/>
      <c r="G440" s="456"/>
      <c r="H440" s="455"/>
      <c r="I440" s="351"/>
      <c r="J440" s="433"/>
      <c r="K440" s="546"/>
      <c r="L440" s="351"/>
      <c r="M440" s="456"/>
      <c r="N440" s="353"/>
      <c r="O440" s="433"/>
    </row>
    <row r="441">
      <c r="A441" s="433"/>
      <c r="B441" s="456"/>
      <c r="C441" s="433"/>
      <c r="D441" s="433"/>
      <c r="E441" s="545"/>
      <c r="F441" s="353"/>
      <c r="G441" s="456"/>
      <c r="H441" s="455"/>
      <c r="I441" s="351"/>
      <c r="J441" s="433"/>
      <c r="K441" s="546"/>
      <c r="L441" s="351"/>
      <c r="M441" s="456"/>
      <c r="N441" s="353"/>
      <c r="O441" s="433"/>
    </row>
    <row r="442">
      <c r="A442" s="433"/>
      <c r="B442" s="456"/>
      <c r="C442" s="433"/>
      <c r="D442" s="433"/>
      <c r="E442" s="545"/>
      <c r="F442" s="353"/>
      <c r="G442" s="456"/>
      <c r="H442" s="455"/>
      <c r="I442" s="351"/>
      <c r="J442" s="433"/>
      <c r="K442" s="546"/>
      <c r="L442" s="351"/>
      <c r="M442" s="456"/>
      <c r="N442" s="353"/>
      <c r="O442" s="433"/>
    </row>
    <row r="443">
      <c r="A443" s="433"/>
      <c r="B443" s="456"/>
      <c r="C443" s="433"/>
      <c r="D443" s="433"/>
      <c r="E443" s="545"/>
      <c r="F443" s="353"/>
      <c r="G443" s="456"/>
      <c r="H443" s="455"/>
      <c r="I443" s="351"/>
      <c r="J443" s="433"/>
      <c r="K443" s="546"/>
      <c r="L443" s="351"/>
      <c r="M443" s="456"/>
      <c r="N443" s="353"/>
      <c r="O443" s="433"/>
    </row>
    <row r="444">
      <c r="A444" s="433"/>
      <c r="B444" s="456"/>
      <c r="C444" s="433"/>
      <c r="D444" s="433"/>
      <c r="E444" s="545"/>
      <c r="F444" s="353"/>
      <c r="G444" s="456"/>
      <c r="H444" s="455"/>
      <c r="I444" s="351"/>
      <c r="J444" s="433"/>
      <c r="K444" s="546"/>
      <c r="L444" s="351"/>
      <c r="M444" s="456"/>
      <c r="N444" s="353"/>
      <c r="O444" s="433"/>
    </row>
    <row r="445">
      <c r="A445" s="433"/>
      <c r="B445" s="456"/>
      <c r="C445" s="433"/>
      <c r="D445" s="433"/>
      <c r="E445" s="545"/>
      <c r="F445" s="353"/>
      <c r="G445" s="456"/>
      <c r="H445" s="455"/>
      <c r="I445" s="351"/>
      <c r="J445" s="433"/>
      <c r="K445" s="546"/>
      <c r="L445" s="351"/>
      <c r="M445" s="456"/>
      <c r="N445" s="353"/>
      <c r="O445" s="433"/>
    </row>
    <row r="446">
      <c r="A446" s="433"/>
      <c r="B446" s="456"/>
      <c r="C446" s="433"/>
      <c r="D446" s="433"/>
      <c r="E446" s="545"/>
      <c r="F446" s="353"/>
      <c r="G446" s="456"/>
      <c r="H446" s="455"/>
      <c r="I446" s="351"/>
      <c r="J446" s="433"/>
      <c r="K446" s="546"/>
      <c r="L446" s="351"/>
      <c r="M446" s="456"/>
      <c r="N446" s="353"/>
      <c r="O446" s="433"/>
    </row>
    <row r="447">
      <c r="A447" s="433"/>
      <c r="B447" s="456"/>
      <c r="C447" s="433"/>
      <c r="D447" s="433"/>
      <c r="E447" s="545"/>
      <c r="F447" s="353"/>
      <c r="G447" s="456"/>
      <c r="H447" s="455"/>
      <c r="I447" s="351"/>
      <c r="J447" s="433"/>
      <c r="K447" s="546"/>
      <c r="L447" s="351"/>
      <c r="M447" s="456"/>
      <c r="N447" s="353"/>
      <c r="O447" s="433"/>
    </row>
    <row r="448">
      <c r="A448" s="433"/>
      <c r="B448" s="456"/>
      <c r="C448" s="433"/>
      <c r="D448" s="433"/>
      <c r="E448" s="545"/>
      <c r="F448" s="353"/>
      <c r="G448" s="456"/>
      <c r="H448" s="455"/>
      <c r="I448" s="351"/>
      <c r="J448" s="433"/>
      <c r="K448" s="546"/>
      <c r="L448" s="351"/>
      <c r="M448" s="456"/>
      <c r="N448" s="353"/>
      <c r="O448" s="433"/>
    </row>
    <row r="449">
      <c r="A449" s="433"/>
      <c r="B449" s="456"/>
      <c r="C449" s="433"/>
      <c r="D449" s="433"/>
      <c r="E449" s="545"/>
      <c r="F449" s="353"/>
      <c r="G449" s="456"/>
      <c r="H449" s="455"/>
      <c r="I449" s="351"/>
      <c r="J449" s="433"/>
      <c r="K449" s="546"/>
      <c r="L449" s="351"/>
      <c r="M449" s="456"/>
      <c r="N449" s="353"/>
      <c r="O449" s="433"/>
    </row>
    <row r="450">
      <c r="A450" s="433"/>
      <c r="B450" s="456"/>
      <c r="C450" s="433"/>
      <c r="D450" s="433"/>
      <c r="E450" s="545"/>
      <c r="F450" s="353"/>
      <c r="G450" s="456"/>
      <c r="H450" s="455"/>
      <c r="I450" s="351"/>
      <c r="J450" s="433"/>
      <c r="K450" s="546"/>
      <c r="L450" s="351"/>
      <c r="M450" s="456"/>
      <c r="N450" s="353"/>
      <c r="O450" s="433"/>
    </row>
    <row r="451">
      <c r="A451" s="433"/>
      <c r="B451" s="456"/>
      <c r="C451" s="433"/>
      <c r="D451" s="433"/>
      <c r="E451" s="545"/>
      <c r="F451" s="353"/>
      <c r="G451" s="456"/>
      <c r="H451" s="455"/>
      <c r="I451" s="351"/>
      <c r="J451" s="433"/>
      <c r="K451" s="546"/>
      <c r="L451" s="351"/>
      <c r="M451" s="456"/>
      <c r="N451" s="353"/>
      <c r="O451" s="433"/>
    </row>
    <row r="452">
      <c r="A452" s="433"/>
      <c r="B452" s="456"/>
      <c r="C452" s="433"/>
      <c r="D452" s="433"/>
      <c r="E452" s="545"/>
      <c r="F452" s="353"/>
      <c r="G452" s="456"/>
      <c r="H452" s="455"/>
      <c r="I452" s="351"/>
      <c r="J452" s="433"/>
      <c r="K452" s="546"/>
      <c r="L452" s="351"/>
      <c r="M452" s="456"/>
      <c r="N452" s="353"/>
      <c r="O452" s="433"/>
    </row>
    <row r="453">
      <c r="A453" s="433"/>
      <c r="B453" s="456"/>
      <c r="C453" s="433"/>
      <c r="D453" s="433"/>
      <c r="E453" s="545"/>
      <c r="F453" s="353"/>
      <c r="G453" s="456"/>
      <c r="H453" s="455"/>
      <c r="I453" s="351"/>
      <c r="J453" s="433"/>
      <c r="K453" s="546"/>
      <c r="L453" s="351"/>
      <c r="M453" s="456"/>
      <c r="N453" s="353"/>
      <c r="O453" s="433"/>
    </row>
    <row r="454">
      <c r="A454" s="433"/>
      <c r="B454" s="456"/>
      <c r="C454" s="433"/>
      <c r="D454" s="433"/>
      <c r="E454" s="545"/>
      <c r="F454" s="353"/>
      <c r="G454" s="456"/>
      <c r="H454" s="455"/>
      <c r="I454" s="351"/>
      <c r="J454" s="433"/>
      <c r="K454" s="546"/>
      <c r="L454" s="351"/>
      <c r="M454" s="456"/>
      <c r="N454" s="353"/>
      <c r="O454" s="433"/>
    </row>
    <row r="455">
      <c r="A455" s="433"/>
      <c r="B455" s="456"/>
      <c r="C455" s="433"/>
      <c r="D455" s="433"/>
      <c r="E455" s="545"/>
      <c r="F455" s="353"/>
      <c r="G455" s="456"/>
      <c r="H455" s="455"/>
      <c r="I455" s="351"/>
      <c r="J455" s="433"/>
      <c r="K455" s="546"/>
      <c r="L455" s="351"/>
      <c r="M455" s="456"/>
      <c r="N455" s="353"/>
      <c r="O455" s="433"/>
    </row>
    <row r="456">
      <c r="A456" s="433"/>
      <c r="B456" s="456"/>
      <c r="C456" s="433"/>
      <c r="D456" s="433"/>
      <c r="E456" s="545"/>
      <c r="F456" s="353"/>
      <c r="G456" s="456"/>
      <c r="H456" s="455"/>
      <c r="I456" s="351"/>
      <c r="J456" s="433"/>
      <c r="K456" s="546"/>
      <c r="L456" s="351"/>
      <c r="M456" s="456"/>
      <c r="N456" s="353"/>
      <c r="O456" s="433"/>
    </row>
    <row r="457">
      <c r="A457" s="433"/>
      <c r="B457" s="456"/>
      <c r="C457" s="433"/>
      <c r="D457" s="433"/>
      <c r="E457" s="545"/>
      <c r="F457" s="353"/>
      <c r="G457" s="456"/>
      <c r="H457" s="455"/>
      <c r="I457" s="351"/>
      <c r="J457" s="433"/>
      <c r="K457" s="546"/>
      <c r="L457" s="351"/>
      <c r="M457" s="456"/>
      <c r="N457" s="353"/>
      <c r="O457" s="433"/>
    </row>
    <row r="458">
      <c r="A458" s="433"/>
      <c r="B458" s="456"/>
      <c r="C458" s="433"/>
      <c r="D458" s="433"/>
      <c r="E458" s="545"/>
      <c r="F458" s="353"/>
      <c r="G458" s="456"/>
      <c r="H458" s="455"/>
      <c r="I458" s="351"/>
      <c r="J458" s="433"/>
      <c r="K458" s="546"/>
      <c r="L458" s="351"/>
      <c r="M458" s="456"/>
      <c r="N458" s="353"/>
      <c r="O458" s="433"/>
    </row>
    <row r="459">
      <c r="A459" s="433"/>
      <c r="B459" s="456"/>
      <c r="C459" s="433"/>
      <c r="D459" s="433"/>
      <c r="E459" s="545"/>
      <c r="F459" s="353"/>
      <c r="G459" s="456"/>
      <c r="H459" s="455"/>
      <c r="I459" s="351"/>
      <c r="J459" s="433"/>
      <c r="K459" s="546"/>
      <c r="L459" s="351"/>
      <c r="M459" s="456"/>
      <c r="N459" s="353"/>
      <c r="O459" s="433"/>
    </row>
    <row r="460">
      <c r="A460" s="433"/>
      <c r="B460" s="456"/>
      <c r="C460" s="433"/>
      <c r="D460" s="433"/>
      <c r="E460" s="545"/>
      <c r="F460" s="353"/>
      <c r="G460" s="456"/>
      <c r="H460" s="455"/>
      <c r="I460" s="351"/>
      <c r="J460" s="433"/>
      <c r="K460" s="546"/>
      <c r="L460" s="351"/>
      <c r="M460" s="456"/>
      <c r="N460" s="353"/>
      <c r="O460" s="433"/>
    </row>
    <row r="461">
      <c r="A461" s="433"/>
      <c r="B461" s="456"/>
      <c r="C461" s="433"/>
      <c r="D461" s="433"/>
      <c r="E461" s="545"/>
      <c r="F461" s="353"/>
      <c r="G461" s="456"/>
      <c r="H461" s="455"/>
      <c r="I461" s="351"/>
      <c r="J461" s="433"/>
      <c r="K461" s="546"/>
      <c r="L461" s="351"/>
      <c r="M461" s="456"/>
      <c r="N461" s="353"/>
      <c r="O461" s="433"/>
    </row>
    <row r="462">
      <c r="A462" s="433"/>
      <c r="B462" s="456"/>
      <c r="C462" s="433"/>
      <c r="D462" s="433"/>
      <c r="E462" s="545"/>
      <c r="F462" s="353"/>
      <c r="G462" s="456"/>
      <c r="H462" s="455"/>
      <c r="I462" s="351"/>
      <c r="J462" s="433"/>
      <c r="K462" s="546"/>
      <c r="L462" s="351"/>
      <c r="M462" s="456"/>
      <c r="N462" s="353"/>
      <c r="O462" s="433"/>
    </row>
    <row r="463">
      <c r="A463" s="433"/>
      <c r="B463" s="456"/>
      <c r="C463" s="433"/>
      <c r="D463" s="433"/>
      <c r="E463" s="545"/>
      <c r="F463" s="353"/>
      <c r="G463" s="456"/>
      <c r="H463" s="455"/>
      <c r="I463" s="351"/>
      <c r="J463" s="433"/>
      <c r="K463" s="546"/>
      <c r="L463" s="351"/>
      <c r="M463" s="456"/>
      <c r="N463" s="353"/>
      <c r="O463" s="433"/>
    </row>
    <row r="464">
      <c r="A464" s="433"/>
      <c r="B464" s="456"/>
      <c r="C464" s="433"/>
      <c r="D464" s="433"/>
      <c r="E464" s="545"/>
      <c r="F464" s="353"/>
      <c r="G464" s="456"/>
      <c r="H464" s="455"/>
      <c r="I464" s="351"/>
      <c r="J464" s="433"/>
      <c r="K464" s="546"/>
      <c r="L464" s="351"/>
      <c r="M464" s="456"/>
      <c r="N464" s="353"/>
      <c r="O464" s="433"/>
    </row>
    <row r="465">
      <c r="A465" s="433"/>
      <c r="B465" s="456"/>
      <c r="C465" s="433"/>
      <c r="D465" s="433"/>
      <c r="E465" s="545"/>
      <c r="F465" s="353"/>
      <c r="G465" s="456"/>
      <c r="H465" s="455"/>
      <c r="I465" s="351"/>
      <c r="J465" s="433"/>
      <c r="K465" s="546"/>
      <c r="L465" s="351"/>
      <c r="M465" s="456"/>
      <c r="N465" s="353"/>
      <c r="O465" s="433"/>
    </row>
    <row r="466">
      <c r="A466" s="433"/>
      <c r="B466" s="456"/>
      <c r="C466" s="433"/>
      <c r="D466" s="433"/>
      <c r="E466" s="545"/>
      <c r="F466" s="353"/>
      <c r="G466" s="456"/>
      <c r="H466" s="455"/>
      <c r="I466" s="351"/>
      <c r="J466" s="433"/>
      <c r="K466" s="546"/>
      <c r="L466" s="351"/>
      <c r="M466" s="456"/>
      <c r="N466" s="353"/>
      <c r="O466" s="433"/>
    </row>
    <row r="467">
      <c r="A467" s="433"/>
      <c r="B467" s="456"/>
      <c r="C467" s="433"/>
      <c r="D467" s="433"/>
      <c r="E467" s="545"/>
      <c r="F467" s="353"/>
      <c r="G467" s="456"/>
      <c r="H467" s="455"/>
      <c r="I467" s="351"/>
      <c r="J467" s="433"/>
      <c r="K467" s="546"/>
      <c r="L467" s="351"/>
      <c r="M467" s="456"/>
      <c r="N467" s="353"/>
      <c r="O467" s="433"/>
    </row>
    <row r="468">
      <c r="A468" s="433"/>
      <c r="B468" s="456"/>
      <c r="C468" s="433"/>
      <c r="D468" s="433"/>
      <c r="E468" s="545"/>
      <c r="F468" s="353"/>
      <c r="G468" s="456"/>
      <c r="H468" s="455"/>
      <c r="I468" s="351"/>
      <c r="J468" s="433"/>
      <c r="K468" s="546"/>
      <c r="L468" s="351"/>
      <c r="M468" s="456"/>
      <c r="N468" s="353"/>
      <c r="O468" s="433"/>
    </row>
    <row r="469">
      <c r="A469" s="433"/>
      <c r="B469" s="456"/>
      <c r="C469" s="433"/>
      <c r="D469" s="433"/>
      <c r="E469" s="545"/>
      <c r="F469" s="353"/>
      <c r="G469" s="456"/>
      <c r="H469" s="455"/>
      <c r="I469" s="351"/>
      <c r="J469" s="433"/>
      <c r="K469" s="546"/>
      <c r="L469" s="351"/>
      <c r="M469" s="456"/>
      <c r="N469" s="353"/>
      <c r="O469" s="433"/>
    </row>
    <row r="470">
      <c r="A470" s="433"/>
      <c r="B470" s="456"/>
      <c r="C470" s="433"/>
      <c r="D470" s="433"/>
      <c r="E470" s="545"/>
      <c r="F470" s="353"/>
      <c r="G470" s="456"/>
      <c r="H470" s="455"/>
      <c r="I470" s="351"/>
      <c r="J470" s="433"/>
      <c r="K470" s="546"/>
      <c r="L470" s="351"/>
      <c r="M470" s="456"/>
      <c r="N470" s="353"/>
      <c r="O470" s="433"/>
    </row>
    <row r="471">
      <c r="A471" s="433"/>
      <c r="B471" s="456"/>
      <c r="C471" s="433"/>
      <c r="D471" s="433"/>
      <c r="E471" s="545"/>
      <c r="F471" s="353"/>
      <c r="G471" s="456"/>
      <c r="H471" s="455"/>
      <c r="I471" s="351"/>
      <c r="J471" s="433"/>
      <c r="K471" s="546"/>
      <c r="L471" s="351"/>
      <c r="M471" s="456"/>
      <c r="N471" s="353"/>
      <c r="O471" s="433"/>
    </row>
    <row r="472">
      <c r="A472" s="433"/>
      <c r="B472" s="456"/>
      <c r="C472" s="433"/>
      <c r="D472" s="433"/>
      <c r="E472" s="545"/>
      <c r="F472" s="353"/>
      <c r="G472" s="456"/>
      <c r="H472" s="455"/>
      <c r="I472" s="351"/>
      <c r="J472" s="433"/>
      <c r="K472" s="546"/>
      <c r="L472" s="351"/>
      <c r="M472" s="456"/>
      <c r="N472" s="353"/>
      <c r="O472" s="433"/>
    </row>
    <row r="473">
      <c r="A473" s="433"/>
      <c r="B473" s="456"/>
      <c r="C473" s="433"/>
      <c r="D473" s="433"/>
      <c r="E473" s="545"/>
      <c r="F473" s="353"/>
      <c r="G473" s="456"/>
      <c r="H473" s="455"/>
      <c r="I473" s="351"/>
      <c r="J473" s="433"/>
      <c r="K473" s="546"/>
      <c r="L473" s="351"/>
      <c r="M473" s="456"/>
      <c r="N473" s="353"/>
      <c r="O473" s="433"/>
    </row>
    <row r="474">
      <c r="A474" s="433"/>
      <c r="B474" s="456"/>
      <c r="C474" s="433"/>
      <c r="D474" s="433"/>
      <c r="E474" s="545"/>
      <c r="F474" s="353"/>
      <c r="G474" s="456"/>
      <c r="H474" s="455"/>
      <c r="I474" s="351"/>
      <c r="J474" s="433"/>
      <c r="K474" s="546"/>
      <c r="L474" s="351"/>
      <c r="M474" s="456"/>
      <c r="N474" s="353"/>
      <c r="O474" s="433"/>
    </row>
    <row r="475">
      <c r="A475" s="433"/>
      <c r="B475" s="456"/>
      <c r="C475" s="433"/>
      <c r="D475" s="433"/>
      <c r="E475" s="545"/>
      <c r="F475" s="353"/>
      <c r="G475" s="456"/>
      <c r="H475" s="455"/>
      <c r="I475" s="351"/>
      <c r="J475" s="433"/>
      <c r="K475" s="546"/>
      <c r="L475" s="351"/>
      <c r="M475" s="456"/>
      <c r="N475" s="353"/>
      <c r="O475" s="433"/>
    </row>
    <row r="476">
      <c r="A476" s="433"/>
      <c r="B476" s="456"/>
      <c r="C476" s="433"/>
      <c r="D476" s="433"/>
      <c r="E476" s="545"/>
      <c r="F476" s="353"/>
      <c r="G476" s="456"/>
      <c r="H476" s="455"/>
      <c r="I476" s="351"/>
      <c r="J476" s="433"/>
      <c r="K476" s="546"/>
      <c r="L476" s="351"/>
      <c r="M476" s="456"/>
      <c r="N476" s="353"/>
      <c r="O476" s="433"/>
    </row>
    <row r="477">
      <c r="A477" s="433"/>
      <c r="B477" s="456"/>
      <c r="C477" s="433"/>
      <c r="D477" s="433"/>
      <c r="E477" s="545"/>
      <c r="F477" s="353"/>
      <c r="G477" s="456"/>
      <c r="H477" s="455"/>
      <c r="I477" s="351"/>
      <c r="J477" s="433"/>
      <c r="K477" s="546"/>
      <c r="L477" s="351"/>
      <c r="M477" s="456"/>
      <c r="N477" s="353"/>
      <c r="O477" s="433"/>
    </row>
    <row r="478">
      <c r="A478" s="433"/>
      <c r="B478" s="456"/>
      <c r="C478" s="433"/>
      <c r="D478" s="433"/>
      <c r="E478" s="545"/>
      <c r="F478" s="353"/>
      <c r="G478" s="456"/>
      <c r="H478" s="455"/>
      <c r="I478" s="351"/>
      <c r="J478" s="433"/>
      <c r="K478" s="546"/>
      <c r="L478" s="351"/>
      <c r="M478" s="456"/>
      <c r="N478" s="353"/>
      <c r="O478" s="433"/>
    </row>
    <row r="479">
      <c r="A479" s="433"/>
      <c r="B479" s="456"/>
      <c r="C479" s="433"/>
      <c r="D479" s="433"/>
      <c r="E479" s="545"/>
      <c r="F479" s="353"/>
      <c r="G479" s="456"/>
      <c r="H479" s="455"/>
      <c r="I479" s="351"/>
      <c r="J479" s="433"/>
      <c r="K479" s="546"/>
      <c r="L479" s="351"/>
      <c r="M479" s="456"/>
      <c r="N479" s="353"/>
      <c r="O479" s="433"/>
    </row>
    <row r="480">
      <c r="A480" s="433"/>
      <c r="B480" s="456"/>
      <c r="C480" s="433"/>
      <c r="D480" s="433"/>
      <c r="E480" s="545"/>
      <c r="F480" s="353"/>
      <c r="G480" s="456"/>
      <c r="H480" s="455"/>
      <c r="I480" s="351"/>
      <c r="J480" s="433"/>
      <c r="K480" s="546"/>
      <c r="L480" s="351"/>
      <c r="M480" s="456"/>
      <c r="N480" s="353"/>
      <c r="O480" s="433"/>
    </row>
    <row r="481">
      <c r="A481" s="433"/>
      <c r="B481" s="456"/>
      <c r="C481" s="433"/>
      <c r="D481" s="433"/>
      <c r="E481" s="545"/>
      <c r="F481" s="353"/>
      <c r="G481" s="456"/>
      <c r="H481" s="455"/>
      <c r="I481" s="351"/>
      <c r="J481" s="433"/>
      <c r="K481" s="546"/>
      <c r="L481" s="351"/>
      <c r="M481" s="456"/>
      <c r="N481" s="353"/>
      <c r="O481" s="433"/>
    </row>
    <row r="482">
      <c r="A482" s="433"/>
      <c r="B482" s="456"/>
      <c r="C482" s="433"/>
      <c r="D482" s="433"/>
      <c r="E482" s="545"/>
      <c r="F482" s="353"/>
      <c r="G482" s="456"/>
      <c r="H482" s="455"/>
      <c r="I482" s="351"/>
      <c r="J482" s="433"/>
      <c r="K482" s="546"/>
      <c r="L482" s="351"/>
      <c r="M482" s="456"/>
      <c r="N482" s="353"/>
      <c r="O482" s="433"/>
    </row>
    <row r="483">
      <c r="A483" s="433"/>
      <c r="B483" s="456"/>
      <c r="C483" s="433"/>
      <c r="D483" s="433"/>
      <c r="E483" s="545"/>
      <c r="F483" s="353"/>
      <c r="G483" s="456"/>
      <c r="H483" s="455"/>
      <c r="I483" s="351"/>
      <c r="J483" s="433"/>
      <c r="K483" s="546"/>
      <c r="L483" s="351"/>
      <c r="M483" s="456"/>
      <c r="N483" s="353"/>
      <c r="O483" s="433"/>
    </row>
    <row r="484">
      <c r="A484" s="433"/>
      <c r="B484" s="456"/>
      <c r="C484" s="433"/>
      <c r="D484" s="433"/>
      <c r="E484" s="545"/>
      <c r="F484" s="353"/>
      <c r="G484" s="456"/>
      <c r="H484" s="455"/>
      <c r="I484" s="351"/>
      <c r="J484" s="433"/>
      <c r="K484" s="546"/>
      <c r="L484" s="351"/>
      <c r="M484" s="456"/>
      <c r="N484" s="353"/>
      <c r="O484" s="433"/>
    </row>
    <row r="485">
      <c r="A485" s="433"/>
      <c r="B485" s="456"/>
      <c r="C485" s="433"/>
      <c r="D485" s="433"/>
      <c r="E485" s="545"/>
      <c r="F485" s="353"/>
      <c r="G485" s="456"/>
      <c r="H485" s="455"/>
      <c r="I485" s="351"/>
      <c r="J485" s="433"/>
      <c r="K485" s="546"/>
      <c r="L485" s="351"/>
      <c r="M485" s="456"/>
      <c r="N485" s="353"/>
      <c r="O485" s="433"/>
    </row>
    <row r="486">
      <c r="A486" s="433"/>
      <c r="B486" s="456"/>
      <c r="C486" s="433"/>
      <c r="D486" s="433"/>
      <c r="E486" s="545"/>
      <c r="F486" s="353"/>
      <c r="G486" s="456"/>
      <c r="H486" s="455"/>
      <c r="I486" s="351"/>
      <c r="J486" s="433"/>
      <c r="K486" s="546"/>
      <c r="L486" s="351"/>
      <c r="M486" s="456"/>
      <c r="N486" s="353"/>
      <c r="O486" s="433"/>
    </row>
    <row r="487">
      <c r="A487" s="433"/>
      <c r="B487" s="456"/>
      <c r="C487" s="433"/>
      <c r="D487" s="433"/>
      <c r="E487" s="545"/>
      <c r="F487" s="353"/>
      <c r="G487" s="456"/>
      <c r="H487" s="455"/>
      <c r="I487" s="351"/>
      <c r="J487" s="433"/>
      <c r="K487" s="546"/>
      <c r="L487" s="351"/>
      <c r="M487" s="456"/>
      <c r="N487" s="353"/>
      <c r="O487" s="433"/>
    </row>
    <row r="488">
      <c r="A488" s="433"/>
      <c r="B488" s="456"/>
      <c r="C488" s="433"/>
      <c r="D488" s="433"/>
      <c r="E488" s="545"/>
      <c r="F488" s="353"/>
      <c r="G488" s="456"/>
      <c r="H488" s="455"/>
      <c r="I488" s="351"/>
      <c r="J488" s="433"/>
      <c r="K488" s="546"/>
      <c r="L488" s="351"/>
      <c r="M488" s="456"/>
      <c r="N488" s="353"/>
      <c r="O488" s="433"/>
    </row>
    <row r="489">
      <c r="A489" s="433"/>
      <c r="B489" s="456"/>
      <c r="C489" s="433"/>
      <c r="D489" s="433"/>
      <c r="E489" s="545"/>
      <c r="F489" s="353"/>
      <c r="G489" s="456"/>
      <c r="H489" s="455"/>
      <c r="I489" s="351"/>
      <c r="J489" s="433"/>
      <c r="K489" s="546"/>
      <c r="L489" s="351"/>
      <c r="M489" s="456"/>
      <c r="N489" s="353"/>
      <c r="O489" s="433"/>
    </row>
    <row r="490">
      <c r="A490" s="433"/>
      <c r="B490" s="456"/>
      <c r="C490" s="433"/>
      <c r="D490" s="433"/>
      <c r="E490" s="545"/>
      <c r="F490" s="353"/>
      <c r="G490" s="456"/>
      <c r="H490" s="455"/>
      <c r="I490" s="351"/>
      <c r="J490" s="433"/>
      <c r="K490" s="546"/>
      <c r="L490" s="351"/>
      <c r="M490" s="456"/>
      <c r="N490" s="353"/>
      <c r="O490" s="433"/>
    </row>
    <row r="491">
      <c r="A491" s="433"/>
      <c r="B491" s="456"/>
      <c r="C491" s="433"/>
      <c r="D491" s="433"/>
      <c r="E491" s="545"/>
      <c r="F491" s="353"/>
      <c r="G491" s="456"/>
      <c r="H491" s="455"/>
      <c r="I491" s="351"/>
      <c r="J491" s="433"/>
      <c r="K491" s="546"/>
      <c r="L491" s="351"/>
      <c r="M491" s="456"/>
      <c r="N491" s="353"/>
      <c r="O491" s="433"/>
    </row>
    <row r="492">
      <c r="A492" s="433"/>
      <c r="B492" s="456"/>
      <c r="C492" s="433"/>
      <c r="D492" s="433"/>
      <c r="E492" s="545"/>
      <c r="F492" s="353"/>
      <c r="G492" s="456"/>
      <c r="H492" s="455"/>
      <c r="I492" s="351"/>
      <c r="J492" s="433"/>
      <c r="K492" s="546"/>
      <c r="L492" s="351"/>
      <c r="M492" s="456"/>
      <c r="N492" s="353"/>
      <c r="O492" s="433"/>
    </row>
    <row r="493">
      <c r="A493" s="433"/>
      <c r="B493" s="456"/>
      <c r="C493" s="433"/>
      <c r="D493" s="433"/>
      <c r="E493" s="545"/>
      <c r="F493" s="353"/>
      <c r="G493" s="456"/>
      <c r="H493" s="455"/>
      <c r="I493" s="351"/>
      <c r="J493" s="433"/>
      <c r="K493" s="546"/>
      <c r="L493" s="351"/>
      <c r="M493" s="456"/>
      <c r="N493" s="353"/>
      <c r="O493" s="433"/>
    </row>
    <row r="494">
      <c r="A494" s="433"/>
      <c r="B494" s="456"/>
      <c r="C494" s="433"/>
      <c r="D494" s="433"/>
      <c r="E494" s="545"/>
      <c r="F494" s="353"/>
      <c r="G494" s="456"/>
      <c r="H494" s="455"/>
      <c r="I494" s="351"/>
      <c r="J494" s="433"/>
      <c r="K494" s="546"/>
      <c r="L494" s="351"/>
      <c r="M494" s="456"/>
      <c r="N494" s="353"/>
      <c r="O494" s="433"/>
    </row>
    <row r="495">
      <c r="A495" s="433"/>
      <c r="B495" s="456"/>
      <c r="C495" s="433"/>
      <c r="D495" s="433"/>
      <c r="E495" s="545"/>
      <c r="F495" s="353"/>
      <c r="G495" s="456"/>
      <c r="H495" s="455"/>
      <c r="I495" s="351"/>
      <c r="J495" s="433"/>
      <c r="K495" s="546"/>
      <c r="L495" s="351"/>
      <c r="M495" s="456"/>
      <c r="N495" s="353"/>
      <c r="O495" s="433"/>
    </row>
    <row r="496">
      <c r="A496" s="433"/>
      <c r="B496" s="456"/>
      <c r="C496" s="433"/>
      <c r="D496" s="433"/>
      <c r="E496" s="545"/>
      <c r="F496" s="353"/>
      <c r="G496" s="456"/>
      <c r="H496" s="455"/>
      <c r="I496" s="351"/>
      <c r="J496" s="433"/>
      <c r="K496" s="546"/>
      <c r="L496" s="351"/>
      <c r="M496" s="456"/>
      <c r="N496" s="353"/>
      <c r="O496" s="433"/>
    </row>
    <row r="497">
      <c r="A497" s="433"/>
      <c r="B497" s="456"/>
      <c r="C497" s="433"/>
      <c r="D497" s="433"/>
      <c r="E497" s="545"/>
      <c r="F497" s="353"/>
      <c r="G497" s="456"/>
      <c r="H497" s="455"/>
      <c r="I497" s="351"/>
      <c r="J497" s="433"/>
      <c r="K497" s="546"/>
      <c r="L497" s="351"/>
      <c r="M497" s="456"/>
      <c r="N497" s="353"/>
      <c r="O497" s="433"/>
    </row>
    <row r="498">
      <c r="A498" s="433"/>
      <c r="B498" s="456"/>
      <c r="C498" s="433"/>
      <c r="D498" s="433"/>
      <c r="E498" s="545"/>
      <c r="F498" s="353"/>
      <c r="G498" s="456"/>
      <c r="H498" s="455"/>
      <c r="I498" s="351"/>
      <c r="J498" s="433"/>
      <c r="K498" s="546"/>
      <c r="L498" s="351"/>
      <c r="M498" s="456"/>
      <c r="N498" s="353"/>
      <c r="O498" s="433"/>
    </row>
    <row r="499">
      <c r="A499" s="433"/>
      <c r="B499" s="456"/>
      <c r="C499" s="433"/>
      <c r="D499" s="433"/>
      <c r="E499" s="545"/>
      <c r="F499" s="353"/>
      <c r="G499" s="456"/>
      <c r="H499" s="455"/>
      <c r="I499" s="351"/>
      <c r="J499" s="433"/>
      <c r="K499" s="546"/>
      <c r="L499" s="351"/>
      <c r="M499" s="456"/>
      <c r="N499" s="353"/>
      <c r="O499" s="433"/>
    </row>
    <row r="500">
      <c r="A500" s="433"/>
      <c r="B500" s="456"/>
      <c r="C500" s="433"/>
      <c r="D500" s="433"/>
      <c r="E500" s="545"/>
      <c r="F500" s="353"/>
      <c r="G500" s="456"/>
      <c r="H500" s="455"/>
      <c r="I500" s="351"/>
      <c r="J500" s="433"/>
      <c r="K500" s="546"/>
      <c r="L500" s="351"/>
      <c r="M500" s="456"/>
      <c r="N500" s="353"/>
      <c r="O500" s="433"/>
    </row>
    <row r="501">
      <c r="A501" s="433"/>
      <c r="B501" s="456"/>
      <c r="C501" s="433"/>
      <c r="D501" s="433"/>
      <c r="E501" s="545"/>
      <c r="F501" s="353"/>
      <c r="G501" s="456"/>
      <c r="H501" s="455"/>
      <c r="I501" s="351"/>
      <c r="J501" s="433"/>
      <c r="K501" s="546"/>
      <c r="L501" s="351"/>
      <c r="M501" s="456"/>
      <c r="N501" s="353"/>
      <c r="O501" s="433"/>
    </row>
    <row r="502">
      <c r="A502" s="433"/>
      <c r="B502" s="456"/>
      <c r="C502" s="433"/>
      <c r="D502" s="433"/>
      <c r="E502" s="545"/>
      <c r="F502" s="353"/>
      <c r="G502" s="456"/>
      <c r="H502" s="455"/>
      <c r="I502" s="351"/>
      <c r="J502" s="433"/>
      <c r="K502" s="546"/>
      <c r="L502" s="351"/>
      <c r="M502" s="456"/>
      <c r="N502" s="353"/>
      <c r="O502" s="433"/>
    </row>
    <row r="503">
      <c r="A503" s="433"/>
      <c r="B503" s="456"/>
      <c r="C503" s="433"/>
      <c r="D503" s="433"/>
      <c r="E503" s="545"/>
      <c r="F503" s="353"/>
      <c r="G503" s="456"/>
      <c r="H503" s="455"/>
      <c r="I503" s="351"/>
      <c r="J503" s="433"/>
      <c r="K503" s="546"/>
      <c r="L503" s="351"/>
      <c r="M503" s="456"/>
      <c r="N503" s="353"/>
      <c r="O503" s="433"/>
    </row>
    <row r="504">
      <c r="A504" s="433"/>
      <c r="B504" s="456"/>
      <c r="C504" s="433"/>
      <c r="D504" s="433"/>
      <c r="E504" s="545"/>
      <c r="F504" s="353"/>
      <c r="G504" s="456"/>
      <c r="H504" s="455"/>
      <c r="I504" s="351"/>
      <c r="J504" s="433"/>
      <c r="K504" s="546"/>
      <c r="L504" s="351"/>
      <c r="M504" s="456"/>
      <c r="N504" s="353"/>
      <c r="O504" s="433"/>
    </row>
    <row r="505">
      <c r="A505" s="433"/>
      <c r="B505" s="456"/>
      <c r="C505" s="433"/>
      <c r="D505" s="433"/>
      <c r="E505" s="545"/>
      <c r="F505" s="353"/>
      <c r="G505" s="456"/>
      <c r="H505" s="455"/>
      <c r="I505" s="351"/>
      <c r="J505" s="433"/>
      <c r="K505" s="546"/>
      <c r="L505" s="351"/>
      <c r="M505" s="456"/>
      <c r="N505" s="353"/>
      <c r="O505" s="433"/>
    </row>
    <row r="506">
      <c r="A506" s="433"/>
      <c r="B506" s="456"/>
      <c r="C506" s="433"/>
      <c r="D506" s="433"/>
      <c r="E506" s="545"/>
      <c r="F506" s="353"/>
      <c r="G506" s="456"/>
      <c r="H506" s="455"/>
      <c r="I506" s="351"/>
      <c r="J506" s="433"/>
      <c r="K506" s="546"/>
      <c r="L506" s="351"/>
      <c r="M506" s="456"/>
      <c r="N506" s="353"/>
      <c r="O506" s="433"/>
    </row>
    <row r="507">
      <c r="A507" s="433"/>
      <c r="B507" s="456"/>
      <c r="C507" s="433"/>
      <c r="D507" s="433"/>
      <c r="E507" s="545"/>
      <c r="F507" s="353"/>
      <c r="G507" s="456"/>
      <c r="H507" s="455"/>
      <c r="I507" s="351"/>
      <c r="J507" s="433"/>
      <c r="K507" s="546"/>
      <c r="L507" s="351"/>
      <c r="M507" s="456"/>
      <c r="N507" s="353"/>
      <c r="O507" s="433"/>
    </row>
    <row r="508">
      <c r="A508" s="433"/>
      <c r="B508" s="456"/>
      <c r="C508" s="433"/>
      <c r="D508" s="433"/>
      <c r="E508" s="545"/>
      <c r="F508" s="353"/>
      <c r="G508" s="456"/>
      <c r="H508" s="455"/>
      <c r="I508" s="351"/>
      <c r="J508" s="433"/>
      <c r="K508" s="546"/>
      <c r="L508" s="351"/>
      <c r="M508" s="456"/>
      <c r="N508" s="353"/>
      <c r="O508" s="433"/>
    </row>
    <row r="509">
      <c r="A509" s="433"/>
      <c r="B509" s="456"/>
      <c r="C509" s="433"/>
      <c r="D509" s="433"/>
      <c r="E509" s="545"/>
      <c r="F509" s="353"/>
      <c r="G509" s="456"/>
      <c r="H509" s="455"/>
      <c r="I509" s="351"/>
      <c r="J509" s="433"/>
      <c r="K509" s="546"/>
      <c r="L509" s="351"/>
      <c r="M509" s="456"/>
      <c r="N509" s="353"/>
      <c r="O509" s="433"/>
    </row>
    <row r="510">
      <c r="A510" s="433"/>
      <c r="B510" s="456"/>
      <c r="C510" s="433"/>
      <c r="D510" s="433"/>
      <c r="E510" s="545"/>
      <c r="F510" s="353"/>
      <c r="G510" s="456"/>
      <c r="H510" s="455"/>
      <c r="I510" s="351"/>
      <c r="J510" s="433"/>
      <c r="K510" s="546"/>
      <c r="L510" s="351"/>
      <c r="M510" s="456"/>
      <c r="N510" s="353"/>
      <c r="O510" s="433"/>
    </row>
    <row r="511">
      <c r="A511" s="433"/>
      <c r="B511" s="456"/>
      <c r="C511" s="433"/>
      <c r="D511" s="433"/>
      <c r="E511" s="545"/>
      <c r="F511" s="353"/>
      <c r="G511" s="456"/>
      <c r="H511" s="455"/>
      <c r="I511" s="351"/>
      <c r="J511" s="433"/>
      <c r="K511" s="546"/>
      <c r="L511" s="351"/>
      <c r="M511" s="456"/>
      <c r="N511" s="353"/>
      <c r="O511" s="433"/>
    </row>
    <row r="512">
      <c r="A512" s="433"/>
      <c r="B512" s="456"/>
      <c r="C512" s="433"/>
      <c r="D512" s="433"/>
      <c r="E512" s="545"/>
      <c r="F512" s="353"/>
      <c r="G512" s="456"/>
      <c r="H512" s="455"/>
      <c r="I512" s="351"/>
      <c r="J512" s="433"/>
      <c r="K512" s="546"/>
      <c r="L512" s="351"/>
      <c r="M512" s="456"/>
      <c r="N512" s="353"/>
      <c r="O512" s="433"/>
    </row>
    <row r="513">
      <c r="A513" s="433"/>
      <c r="B513" s="456"/>
      <c r="C513" s="433"/>
      <c r="D513" s="433"/>
      <c r="E513" s="545"/>
      <c r="F513" s="353"/>
      <c r="G513" s="456"/>
      <c r="H513" s="455"/>
      <c r="I513" s="351"/>
      <c r="J513" s="433"/>
      <c r="K513" s="546"/>
      <c r="L513" s="351"/>
      <c r="M513" s="456"/>
      <c r="N513" s="353"/>
      <c r="O513" s="433"/>
    </row>
    <row r="514">
      <c r="A514" s="433"/>
      <c r="B514" s="456"/>
      <c r="C514" s="433"/>
      <c r="D514" s="433"/>
      <c r="E514" s="545"/>
      <c r="F514" s="353"/>
      <c r="G514" s="456"/>
      <c r="H514" s="455"/>
      <c r="I514" s="351"/>
      <c r="J514" s="433"/>
      <c r="K514" s="546"/>
      <c r="L514" s="351"/>
      <c r="M514" s="456"/>
      <c r="N514" s="353"/>
      <c r="O514" s="433"/>
    </row>
    <row r="515">
      <c r="A515" s="433"/>
      <c r="B515" s="456"/>
      <c r="C515" s="433"/>
      <c r="D515" s="433"/>
      <c r="E515" s="545"/>
      <c r="F515" s="353"/>
      <c r="G515" s="456"/>
      <c r="H515" s="455"/>
      <c r="I515" s="351"/>
      <c r="J515" s="433"/>
      <c r="K515" s="546"/>
      <c r="L515" s="351"/>
      <c r="M515" s="456"/>
      <c r="N515" s="353"/>
      <c r="O515" s="433"/>
    </row>
    <row r="516">
      <c r="A516" s="433"/>
      <c r="B516" s="456"/>
      <c r="C516" s="433"/>
      <c r="D516" s="433"/>
      <c r="E516" s="545"/>
      <c r="F516" s="353"/>
      <c r="G516" s="456"/>
      <c r="H516" s="455"/>
      <c r="I516" s="351"/>
      <c r="J516" s="433"/>
      <c r="K516" s="546"/>
      <c r="L516" s="351"/>
      <c r="M516" s="456"/>
      <c r="N516" s="353"/>
      <c r="O516" s="433"/>
    </row>
    <row r="517">
      <c r="A517" s="433"/>
      <c r="B517" s="456"/>
      <c r="C517" s="433"/>
      <c r="D517" s="433"/>
      <c r="E517" s="545"/>
      <c r="F517" s="353"/>
      <c r="G517" s="456"/>
      <c r="H517" s="455"/>
      <c r="I517" s="351"/>
      <c r="J517" s="433"/>
      <c r="K517" s="546"/>
      <c r="L517" s="351"/>
      <c r="M517" s="456"/>
      <c r="N517" s="353"/>
      <c r="O517" s="433"/>
    </row>
    <row r="518">
      <c r="A518" s="433"/>
      <c r="B518" s="456"/>
      <c r="C518" s="433"/>
      <c r="D518" s="433"/>
      <c r="E518" s="545"/>
      <c r="F518" s="353"/>
      <c r="G518" s="456"/>
      <c r="H518" s="455"/>
      <c r="I518" s="351"/>
      <c r="J518" s="433"/>
      <c r="K518" s="546"/>
      <c r="L518" s="351"/>
      <c r="M518" s="456"/>
      <c r="N518" s="353"/>
      <c r="O518" s="433"/>
    </row>
    <row r="519">
      <c r="A519" s="433"/>
      <c r="B519" s="456"/>
      <c r="C519" s="433"/>
      <c r="D519" s="433"/>
      <c r="E519" s="545"/>
      <c r="F519" s="353"/>
      <c r="G519" s="456"/>
      <c r="H519" s="455"/>
      <c r="I519" s="351"/>
      <c r="J519" s="433"/>
      <c r="K519" s="546"/>
      <c r="L519" s="351"/>
      <c r="M519" s="456"/>
      <c r="N519" s="353"/>
      <c r="O519" s="433"/>
    </row>
    <row r="520">
      <c r="A520" s="433"/>
      <c r="B520" s="456"/>
      <c r="C520" s="433"/>
      <c r="D520" s="433"/>
      <c r="E520" s="545"/>
      <c r="F520" s="353"/>
      <c r="G520" s="456"/>
      <c r="H520" s="455"/>
      <c r="I520" s="351"/>
      <c r="J520" s="433"/>
      <c r="K520" s="546"/>
      <c r="L520" s="351"/>
      <c r="M520" s="456"/>
      <c r="N520" s="353"/>
      <c r="O520" s="433"/>
    </row>
    <row r="521">
      <c r="A521" s="433"/>
      <c r="B521" s="456"/>
      <c r="C521" s="433"/>
      <c r="D521" s="433"/>
      <c r="E521" s="545"/>
      <c r="F521" s="353"/>
      <c r="G521" s="456"/>
      <c r="H521" s="455"/>
      <c r="I521" s="351"/>
      <c r="J521" s="433"/>
      <c r="K521" s="546"/>
      <c r="L521" s="351"/>
      <c r="M521" s="456"/>
      <c r="N521" s="353"/>
      <c r="O521" s="433"/>
    </row>
    <row r="522">
      <c r="A522" s="433"/>
      <c r="B522" s="456"/>
      <c r="C522" s="433"/>
      <c r="D522" s="433"/>
      <c r="E522" s="545"/>
      <c r="F522" s="353"/>
      <c r="G522" s="456"/>
      <c r="H522" s="455"/>
      <c r="I522" s="351"/>
      <c r="J522" s="433"/>
      <c r="K522" s="546"/>
      <c r="L522" s="351"/>
      <c r="M522" s="456"/>
      <c r="N522" s="353"/>
      <c r="O522" s="433"/>
    </row>
    <row r="523">
      <c r="A523" s="433"/>
      <c r="B523" s="456"/>
      <c r="C523" s="433"/>
      <c r="D523" s="433"/>
      <c r="E523" s="545"/>
      <c r="F523" s="353"/>
      <c r="G523" s="456"/>
      <c r="H523" s="455"/>
      <c r="I523" s="351"/>
      <c r="J523" s="433"/>
      <c r="K523" s="546"/>
      <c r="L523" s="351"/>
      <c r="M523" s="456"/>
      <c r="N523" s="353"/>
      <c r="O523" s="433"/>
    </row>
    <row r="524">
      <c r="A524" s="433"/>
      <c r="B524" s="456"/>
      <c r="C524" s="433"/>
      <c r="D524" s="433"/>
      <c r="E524" s="545"/>
      <c r="F524" s="353"/>
      <c r="G524" s="456"/>
      <c r="H524" s="455"/>
      <c r="I524" s="351"/>
      <c r="J524" s="433"/>
      <c r="K524" s="546"/>
      <c r="L524" s="351"/>
      <c r="M524" s="456"/>
      <c r="N524" s="353"/>
      <c r="O524" s="433"/>
    </row>
    <row r="525">
      <c r="A525" s="433"/>
      <c r="B525" s="456"/>
      <c r="C525" s="433"/>
      <c r="D525" s="433"/>
      <c r="E525" s="545"/>
      <c r="F525" s="353"/>
      <c r="G525" s="456"/>
      <c r="H525" s="455"/>
      <c r="I525" s="351"/>
      <c r="J525" s="433"/>
      <c r="K525" s="546"/>
      <c r="L525" s="351"/>
      <c r="M525" s="456"/>
      <c r="N525" s="353"/>
      <c r="O525" s="433"/>
    </row>
    <row r="526">
      <c r="A526" s="433"/>
      <c r="B526" s="456"/>
      <c r="C526" s="433"/>
      <c r="D526" s="433"/>
      <c r="E526" s="545"/>
      <c r="F526" s="353"/>
      <c r="G526" s="456"/>
      <c r="H526" s="455"/>
      <c r="I526" s="351"/>
      <c r="J526" s="433"/>
      <c r="K526" s="546"/>
      <c r="L526" s="351"/>
      <c r="M526" s="456"/>
      <c r="N526" s="353"/>
      <c r="O526" s="433"/>
    </row>
    <row r="527">
      <c r="A527" s="433"/>
      <c r="B527" s="456"/>
      <c r="C527" s="433"/>
      <c r="D527" s="433"/>
      <c r="E527" s="545"/>
      <c r="F527" s="353"/>
      <c r="G527" s="456"/>
      <c r="H527" s="455"/>
      <c r="I527" s="351"/>
      <c r="J527" s="433"/>
      <c r="K527" s="546"/>
      <c r="L527" s="351"/>
      <c r="M527" s="456"/>
      <c r="N527" s="353"/>
      <c r="O527" s="433"/>
    </row>
    <row r="528">
      <c r="A528" s="433"/>
      <c r="B528" s="456"/>
      <c r="C528" s="433"/>
      <c r="D528" s="433"/>
      <c r="E528" s="545"/>
      <c r="F528" s="353"/>
      <c r="G528" s="456"/>
      <c r="H528" s="455"/>
      <c r="I528" s="351"/>
      <c r="J528" s="433"/>
      <c r="K528" s="546"/>
      <c r="L528" s="351"/>
      <c r="M528" s="456"/>
      <c r="N528" s="353"/>
      <c r="O528" s="433"/>
    </row>
    <row r="529">
      <c r="A529" s="433"/>
      <c r="B529" s="456"/>
      <c r="C529" s="433"/>
      <c r="D529" s="433"/>
      <c r="E529" s="545"/>
      <c r="F529" s="353"/>
      <c r="G529" s="456"/>
      <c r="H529" s="455"/>
      <c r="I529" s="351"/>
      <c r="J529" s="433"/>
      <c r="K529" s="546"/>
      <c r="L529" s="351"/>
      <c r="M529" s="456"/>
      <c r="N529" s="353"/>
      <c r="O529" s="433"/>
    </row>
    <row r="530">
      <c r="A530" s="433"/>
      <c r="B530" s="456"/>
      <c r="C530" s="433"/>
      <c r="D530" s="433"/>
      <c r="E530" s="545"/>
      <c r="F530" s="353"/>
      <c r="G530" s="456"/>
      <c r="H530" s="455"/>
      <c r="I530" s="351"/>
      <c r="J530" s="433"/>
      <c r="K530" s="546"/>
      <c r="L530" s="351"/>
      <c r="M530" s="456"/>
      <c r="N530" s="353"/>
      <c r="O530" s="433"/>
    </row>
    <row r="531">
      <c r="A531" s="433"/>
      <c r="B531" s="456"/>
      <c r="C531" s="433"/>
      <c r="D531" s="433"/>
      <c r="E531" s="545"/>
      <c r="F531" s="353"/>
      <c r="G531" s="456"/>
      <c r="H531" s="455"/>
      <c r="I531" s="351"/>
      <c r="J531" s="433"/>
      <c r="K531" s="546"/>
      <c r="L531" s="351"/>
      <c r="M531" s="456"/>
      <c r="N531" s="353"/>
      <c r="O531" s="433"/>
    </row>
    <row r="532">
      <c r="A532" s="433"/>
      <c r="B532" s="456"/>
      <c r="C532" s="433"/>
      <c r="D532" s="433"/>
      <c r="E532" s="545"/>
      <c r="F532" s="353"/>
      <c r="G532" s="456"/>
      <c r="H532" s="455"/>
      <c r="I532" s="351"/>
      <c r="J532" s="433"/>
      <c r="K532" s="546"/>
      <c r="L532" s="351"/>
      <c r="M532" s="456"/>
      <c r="N532" s="353"/>
      <c r="O532" s="433"/>
    </row>
    <row r="533">
      <c r="A533" s="433"/>
      <c r="B533" s="456"/>
      <c r="C533" s="433"/>
      <c r="D533" s="433"/>
      <c r="E533" s="545"/>
      <c r="F533" s="353"/>
      <c r="G533" s="456"/>
      <c r="H533" s="455"/>
      <c r="I533" s="351"/>
      <c r="J533" s="433"/>
      <c r="K533" s="546"/>
      <c r="L533" s="351"/>
      <c r="M533" s="456"/>
      <c r="N533" s="353"/>
      <c r="O533" s="433"/>
    </row>
    <row r="534">
      <c r="A534" s="433"/>
      <c r="B534" s="456"/>
      <c r="C534" s="433"/>
      <c r="D534" s="433"/>
      <c r="E534" s="545"/>
      <c r="F534" s="353"/>
      <c r="G534" s="456"/>
      <c r="H534" s="455"/>
      <c r="I534" s="351"/>
      <c r="J534" s="433"/>
      <c r="K534" s="546"/>
      <c r="L534" s="351"/>
      <c r="M534" s="456"/>
      <c r="N534" s="353"/>
      <c r="O534" s="433"/>
    </row>
    <row r="535">
      <c r="A535" s="433"/>
      <c r="B535" s="456"/>
      <c r="C535" s="433"/>
      <c r="D535" s="433"/>
      <c r="E535" s="545"/>
      <c r="F535" s="353"/>
      <c r="G535" s="456"/>
      <c r="H535" s="455"/>
      <c r="I535" s="351"/>
      <c r="J535" s="433"/>
      <c r="K535" s="546"/>
      <c r="L535" s="351"/>
      <c r="M535" s="456"/>
      <c r="N535" s="353"/>
      <c r="O535" s="433"/>
    </row>
    <row r="536">
      <c r="A536" s="433"/>
      <c r="B536" s="456"/>
      <c r="C536" s="433"/>
      <c r="D536" s="433"/>
      <c r="E536" s="545"/>
      <c r="F536" s="353"/>
      <c r="G536" s="456"/>
      <c r="H536" s="455"/>
      <c r="I536" s="351"/>
      <c r="J536" s="433"/>
      <c r="K536" s="546"/>
      <c r="L536" s="351"/>
      <c r="M536" s="456"/>
      <c r="N536" s="353"/>
      <c r="O536" s="433"/>
    </row>
    <row r="537">
      <c r="A537" s="433"/>
      <c r="B537" s="456"/>
      <c r="C537" s="433"/>
      <c r="D537" s="433"/>
      <c r="E537" s="545"/>
      <c r="F537" s="353"/>
      <c r="G537" s="456"/>
      <c r="H537" s="455"/>
      <c r="I537" s="351"/>
      <c r="J537" s="433"/>
      <c r="K537" s="546"/>
      <c r="L537" s="351"/>
      <c r="M537" s="456"/>
      <c r="N537" s="353"/>
      <c r="O537" s="433"/>
    </row>
    <row r="538">
      <c r="A538" s="433"/>
      <c r="B538" s="456"/>
      <c r="C538" s="433"/>
      <c r="D538" s="433"/>
      <c r="E538" s="545"/>
      <c r="F538" s="353"/>
      <c r="G538" s="456"/>
      <c r="H538" s="455"/>
      <c r="I538" s="351"/>
      <c r="J538" s="433"/>
      <c r="K538" s="546"/>
      <c r="L538" s="351"/>
      <c r="M538" s="456"/>
      <c r="N538" s="353"/>
      <c r="O538" s="433"/>
    </row>
    <row r="539">
      <c r="A539" s="433"/>
      <c r="B539" s="456"/>
      <c r="C539" s="433"/>
      <c r="D539" s="433"/>
      <c r="E539" s="545"/>
      <c r="F539" s="353"/>
      <c r="G539" s="456"/>
      <c r="H539" s="455"/>
      <c r="I539" s="351"/>
      <c r="J539" s="433"/>
      <c r="K539" s="546"/>
      <c r="L539" s="351"/>
      <c r="M539" s="456"/>
      <c r="N539" s="353"/>
      <c r="O539" s="433"/>
    </row>
    <row r="540">
      <c r="A540" s="433"/>
      <c r="B540" s="456"/>
      <c r="C540" s="433"/>
      <c r="D540" s="433"/>
      <c r="E540" s="545"/>
      <c r="F540" s="353"/>
      <c r="G540" s="456"/>
      <c r="H540" s="455"/>
      <c r="I540" s="351"/>
      <c r="J540" s="433"/>
      <c r="K540" s="546"/>
      <c r="L540" s="351"/>
      <c r="M540" s="456"/>
      <c r="N540" s="353"/>
      <c r="O540" s="433"/>
    </row>
    <row r="541">
      <c r="A541" s="433"/>
      <c r="B541" s="456"/>
      <c r="C541" s="433"/>
      <c r="D541" s="433"/>
      <c r="E541" s="545"/>
      <c r="F541" s="353"/>
      <c r="G541" s="456"/>
      <c r="H541" s="455"/>
      <c r="I541" s="351"/>
      <c r="J541" s="433"/>
      <c r="K541" s="546"/>
      <c r="L541" s="351"/>
      <c r="M541" s="456"/>
      <c r="N541" s="353"/>
      <c r="O541" s="433"/>
    </row>
    <row r="542">
      <c r="A542" s="433"/>
      <c r="B542" s="456"/>
      <c r="C542" s="433"/>
      <c r="D542" s="433"/>
      <c r="E542" s="545"/>
      <c r="F542" s="353"/>
      <c r="G542" s="456"/>
      <c r="H542" s="455"/>
      <c r="I542" s="351"/>
      <c r="J542" s="433"/>
      <c r="K542" s="546"/>
      <c r="L542" s="351"/>
      <c r="M542" s="456"/>
      <c r="N542" s="353"/>
      <c r="O542" s="433"/>
    </row>
    <row r="543">
      <c r="A543" s="433"/>
      <c r="B543" s="456"/>
      <c r="C543" s="433"/>
      <c r="D543" s="433"/>
      <c r="E543" s="545"/>
      <c r="F543" s="353"/>
      <c r="G543" s="456"/>
      <c r="H543" s="455"/>
      <c r="I543" s="351"/>
      <c r="J543" s="433"/>
      <c r="K543" s="546"/>
      <c r="L543" s="351"/>
      <c r="M543" s="456"/>
      <c r="N543" s="353"/>
      <c r="O543" s="433"/>
    </row>
    <row r="544">
      <c r="A544" s="433"/>
      <c r="B544" s="456"/>
      <c r="C544" s="433"/>
      <c r="D544" s="433"/>
      <c r="E544" s="545"/>
      <c r="F544" s="353"/>
      <c r="G544" s="456"/>
      <c r="H544" s="455"/>
      <c r="I544" s="351"/>
      <c r="J544" s="433"/>
      <c r="K544" s="546"/>
      <c r="L544" s="351"/>
      <c r="M544" s="456"/>
      <c r="N544" s="353"/>
      <c r="O544" s="433"/>
    </row>
    <row r="545">
      <c r="A545" s="433"/>
      <c r="B545" s="456"/>
      <c r="C545" s="433"/>
      <c r="D545" s="433"/>
      <c r="E545" s="545"/>
      <c r="F545" s="353"/>
      <c r="G545" s="456"/>
      <c r="H545" s="455"/>
      <c r="I545" s="351"/>
      <c r="J545" s="433"/>
      <c r="K545" s="546"/>
      <c r="L545" s="351"/>
      <c r="M545" s="456"/>
      <c r="N545" s="353"/>
      <c r="O545" s="433"/>
    </row>
    <row r="546">
      <c r="A546" s="433"/>
      <c r="B546" s="456"/>
      <c r="C546" s="433"/>
      <c r="D546" s="433"/>
      <c r="E546" s="545"/>
      <c r="F546" s="353"/>
      <c r="G546" s="456"/>
      <c r="H546" s="455"/>
      <c r="I546" s="351"/>
      <c r="J546" s="433"/>
      <c r="K546" s="546"/>
      <c r="L546" s="351"/>
      <c r="M546" s="456"/>
      <c r="N546" s="353"/>
      <c r="O546" s="433"/>
    </row>
    <row r="547">
      <c r="A547" s="433"/>
      <c r="B547" s="456"/>
      <c r="C547" s="433"/>
      <c r="D547" s="433"/>
      <c r="E547" s="545"/>
      <c r="F547" s="353"/>
      <c r="G547" s="456"/>
      <c r="H547" s="455"/>
      <c r="I547" s="351"/>
      <c r="J547" s="433"/>
      <c r="K547" s="546"/>
      <c r="L547" s="351"/>
      <c r="M547" s="456"/>
      <c r="N547" s="353"/>
      <c r="O547" s="433"/>
    </row>
    <row r="548">
      <c r="A548" s="433"/>
      <c r="B548" s="456"/>
      <c r="C548" s="433"/>
      <c r="D548" s="433"/>
      <c r="E548" s="545"/>
      <c r="F548" s="353"/>
      <c r="G548" s="456"/>
      <c r="H548" s="455"/>
      <c r="I548" s="351"/>
      <c r="J548" s="433"/>
      <c r="K548" s="546"/>
      <c r="L548" s="351"/>
      <c r="M548" s="456"/>
      <c r="N548" s="353"/>
      <c r="O548" s="433"/>
    </row>
    <row r="549">
      <c r="A549" s="433"/>
      <c r="B549" s="456"/>
      <c r="C549" s="433"/>
      <c r="D549" s="433"/>
      <c r="E549" s="545"/>
      <c r="F549" s="353"/>
      <c r="G549" s="456"/>
      <c r="H549" s="455"/>
      <c r="I549" s="351"/>
      <c r="J549" s="433"/>
      <c r="K549" s="546"/>
      <c r="L549" s="351"/>
      <c r="M549" s="456"/>
      <c r="N549" s="353"/>
      <c r="O549" s="433"/>
    </row>
    <row r="550">
      <c r="A550" s="433"/>
      <c r="B550" s="456"/>
      <c r="C550" s="433"/>
      <c r="D550" s="433"/>
      <c r="E550" s="545"/>
      <c r="F550" s="353"/>
      <c r="G550" s="456"/>
      <c r="H550" s="455"/>
      <c r="I550" s="351"/>
      <c r="J550" s="433"/>
      <c r="K550" s="546"/>
      <c r="L550" s="351"/>
      <c r="M550" s="456"/>
      <c r="N550" s="353"/>
      <c r="O550" s="433"/>
    </row>
    <row r="551">
      <c r="A551" s="433"/>
      <c r="B551" s="456"/>
      <c r="C551" s="433"/>
      <c r="D551" s="433"/>
      <c r="E551" s="545"/>
      <c r="F551" s="353"/>
      <c r="G551" s="456"/>
      <c r="H551" s="455"/>
      <c r="I551" s="351"/>
      <c r="J551" s="433"/>
      <c r="K551" s="546"/>
      <c r="L551" s="351"/>
      <c r="M551" s="456"/>
      <c r="N551" s="353"/>
      <c r="O551" s="433"/>
    </row>
    <row r="552">
      <c r="A552" s="433"/>
      <c r="B552" s="456"/>
      <c r="C552" s="433"/>
      <c r="D552" s="433"/>
      <c r="E552" s="545"/>
      <c r="F552" s="353"/>
      <c r="G552" s="456"/>
      <c r="H552" s="455"/>
      <c r="I552" s="351"/>
      <c r="J552" s="433"/>
      <c r="K552" s="546"/>
      <c r="L552" s="351"/>
      <c r="M552" s="456"/>
      <c r="N552" s="353"/>
      <c r="O552" s="433"/>
    </row>
    <row r="553">
      <c r="A553" s="433"/>
      <c r="B553" s="456"/>
      <c r="C553" s="433"/>
      <c r="D553" s="433"/>
      <c r="E553" s="545"/>
      <c r="F553" s="353"/>
      <c r="G553" s="456"/>
      <c r="H553" s="455"/>
      <c r="I553" s="351"/>
      <c r="J553" s="433"/>
      <c r="K553" s="546"/>
      <c r="L553" s="351"/>
      <c r="M553" s="456"/>
      <c r="N553" s="353"/>
      <c r="O553" s="433"/>
    </row>
    <row r="554">
      <c r="A554" s="433"/>
      <c r="B554" s="456"/>
      <c r="C554" s="433"/>
      <c r="D554" s="433"/>
      <c r="E554" s="545"/>
      <c r="F554" s="353"/>
      <c r="G554" s="456"/>
      <c r="H554" s="455"/>
      <c r="I554" s="351"/>
      <c r="J554" s="433"/>
      <c r="K554" s="546"/>
      <c r="L554" s="351"/>
      <c r="M554" s="456"/>
      <c r="N554" s="353"/>
      <c r="O554" s="433"/>
    </row>
    <row r="555">
      <c r="A555" s="433"/>
      <c r="B555" s="456"/>
      <c r="C555" s="433"/>
      <c r="D555" s="433"/>
      <c r="E555" s="545"/>
      <c r="F555" s="353"/>
      <c r="G555" s="456"/>
      <c r="H555" s="455"/>
      <c r="I555" s="351"/>
      <c r="J555" s="433"/>
      <c r="K555" s="546"/>
      <c r="L555" s="351"/>
      <c r="M555" s="456"/>
      <c r="N555" s="353"/>
      <c r="O555" s="433"/>
    </row>
    <row r="556">
      <c r="A556" s="433"/>
      <c r="B556" s="456"/>
      <c r="C556" s="433"/>
      <c r="D556" s="433"/>
      <c r="E556" s="545"/>
      <c r="F556" s="353"/>
      <c r="G556" s="456"/>
      <c r="H556" s="455"/>
      <c r="I556" s="351"/>
      <c r="J556" s="433"/>
      <c r="K556" s="546"/>
      <c r="L556" s="351"/>
      <c r="M556" s="456"/>
      <c r="N556" s="353"/>
      <c r="O556" s="433"/>
    </row>
    <row r="557">
      <c r="A557" s="433"/>
      <c r="B557" s="456"/>
      <c r="C557" s="433"/>
      <c r="D557" s="433"/>
      <c r="E557" s="545"/>
      <c r="F557" s="353"/>
      <c r="G557" s="456"/>
      <c r="H557" s="455"/>
      <c r="I557" s="351"/>
      <c r="J557" s="433"/>
      <c r="K557" s="546"/>
      <c r="L557" s="351"/>
      <c r="M557" s="456"/>
      <c r="N557" s="353"/>
      <c r="O557" s="433"/>
    </row>
    <row r="558">
      <c r="A558" s="433"/>
      <c r="B558" s="456"/>
      <c r="C558" s="433"/>
      <c r="D558" s="433"/>
      <c r="E558" s="545"/>
      <c r="F558" s="353"/>
      <c r="G558" s="456"/>
      <c r="H558" s="455"/>
      <c r="I558" s="351"/>
      <c r="J558" s="433"/>
      <c r="K558" s="546"/>
      <c r="L558" s="351"/>
      <c r="M558" s="456"/>
      <c r="N558" s="353"/>
      <c r="O558" s="433"/>
    </row>
    <row r="559">
      <c r="A559" s="433"/>
      <c r="B559" s="456"/>
      <c r="C559" s="433"/>
      <c r="D559" s="433"/>
      <c r="E559" s="545"/>
      <c r="F559" s="353"/>
      <c r="G559" s="456"/>
      <c r="H559" s="455"/>
      <c r="I559" s="351"/>
      <c r="J559" s="433"/>
      <c r="K559" s="546"/>
      <c r="L559" s="351"/>
      <c r="M559" s="456"/>
      <c r="N559" s="353"/>
      <c r="O559" s="433"/>
    </row>
    <row r="560">
      <c r="A560" s="433"/>
      <c r="B560" s="456"/>
      <c r="C560" s="433"/>
      <c r="D560" s="433"/>
      <c r="E560" s="545"/>
      <c r="F560" s="353"/>
      <c r="G560" s="456"/>
      <c r="H560" s="455"/>
      <c r="I560" s="351"/>
      <c r="J560" s="433"/>
      <c r="K560" s="546"/>
      <c r="L560" s="351"/>
      <c r="M560" s="456"/>
      <c r="N560" s="353"/>
      <c r="O560" s="433"/>
    </row>
    <row r="561">
      <c r="A561" s="433"/>
      <c r="B561" s="456"/>
      <c r="C561" s="433"/>
      <c r="D561" s="433"/>
      <c r="E561" s="545"/>
      <c r="F561" s="353"/>
      <c r="G561" s="456"/>
      <c r="H561" s="455"/>
      <c r="I561" s="351"/>
      <c r="J561" s="433"/>
      <c r="K561" s="546"/>
      <c r="L561" s="351"/>
      <c r="M561" s="456"/>
      <c r="N561" s="353"/>
      <c r="O561" s="433"/>
    </row>
    <row r="562">
      <c r="A562" s="433"/>
      <c r="B562" s="456"/>
      <c r="C562" s="433"/>
      <c r="D562" s="433"/>
      <c r="E562" s="545"/>
      <c r="F562" s="353"/>
      <c r="G562" s="456"/>
      <c r="H562" s="455"/>
      <c r="I562" s="351"/>
      <c r="J562" s="433"/>
      <c r="K562" s="546"/>
      <c r="L562" s="351"/>
      <c r="M562" s="456"/>
      <c r="N562" s="353"/>
      <c r="O562" s="433"/>
    </row>
    <row r="563">
      <c r="A563" s="433"/>
      <c r="B563" s="456"/>
      <c r="C563" s="433"/>
      <c r="D563" s="433"/>
      <c r="E563" s="545"/>
      <c r="F563" s="353"/>
      <c r="G563" s="456"/>
      <c r="H563" s="455"/>
      <c r="I563" s="351"/>
      <c r="J563" s="433"/>
      <c r="K563" s="546"/>
      <c r="L563" s="351"/>
      <c r="M563" s="456"/>
      <c r="N563" s="353"/>
      <c r="O563" s="433"/>
    </row>
    <row r="564">
      <c r="A564" s="433"/>
      <c r="B564" s="456"/>
      <c r="C564" s="433"/>
      <c r="D564" s="433"/>
      <c r="E564" s="545"/>
      <c r="F564" s="353"/>
      <c r="G564" s="456"/>
      <c r="H564" s="455"/>
      <c r="I564" s="351"/>
      <c r="J564" s="433"/>
      <c r="K564" s="546"/>
      <c r="L564" s="351"/>
      <c r="M564" s="456"/>
      <c r="N564" s="353"/>
      <c r="O564" s="433"/>
    </row>
    <row r="565">
      <c r="A565" s="433"/>
      <c r="B565" s="456"/>
      <c r="C565" s="433"/>
      <c r="D565" s="433"/>
      <c r="E565" s="545"/>
      <c r="F565" s="353"/>
      <c r="G565" s="456"/>
      <c r="H565" s="455"/>
      <c r="I565" s="351"/>
      <c r="J565" s="433"/>
      <c r="K565" s="546"/>
      <c r="L565" s="351"/>
      <c r="M565" s="456"/>
      <c r="N565" s="353"/>
      <c r="O565" s="433"/>
    </row>
    <row r="566">
      <c r="A566" s="433"/>
      <c r="B566" s="456"/>
      <c r="C566" s="433"/>
      <c r="D566" s="433"/>
      <c r="E566" s="545"/>
      <c r="F566" s="353"/>
      <c r="G566" s="456"/>
      <c r="H566" s="455"/>
      <c r="I566" s="351"/>
      <c r="J566" s="433"/>
      <c r="K566" s="546"/>
      <c r="L566" s="351"/>
      <c r="M566" s="456"/>
      <c r="N566" s="353"/>
      <c r="O566" s="433"/>
    </row>
    <row r="567">
      <c r="A567" s="433"/>
      <c r="B567" s="456"/>
      <c r="C567" s="433"/>
      <c r="D567" s="433"/>
      <c r="E567" s="545"/>
      <c r="F567" s="353"/>
      <c r="G567" s="456"/>
      <c r="H567" s="455"/>
      <c r="I567" s="351"/>
      <c r="J567" s="433"/>
      <c r="K567" s="546"/>
      <c r="L567" s="351"/>
      <c r="M567" s="456"/>
      <c r="N567" s="353"/>
      <c r="O567" s="433"/>
    </row>
    <row r="568">
      <c r="A568" s="433"/>
      <c r="B568" s="456"/>
      <c r="C568" s="433"/>
      <c r="D568" s="433"/>
      <c r="E568" s="545"/>
      <c r="F568" s="353"/>
      <c r="G568" s="456"/>
      <c r="H568" s="455"/>
      <c r="I568" s="351"/>
      <c r="J568" s="433"/>
      <c r="K568" s="546"/>
      <c r="L568" s="351"/>
      <c r="M568" s="456"/>
      <c r="N568" s="353"/>
      <c r="O568" s="433"/>
    </row>
    <row r="569">
      <c r="A569" s="433"/>
      <c r="B569" s="456"/>
      <c r="C569" s="433"/>
      <c r="D569" s="433"/>
      <c r="E569" s="545"/>
      <c r="F569" s="353"/>
      <c r="G569" s="456"/>
      <c r="H569" s="455"/>
      <c r="I569" s="351"/>
      <c r="J569" s="433"/>
      <c r="K569" s="546"/>
      <c r="L569" s="351"/>
      <c r="M569" s="456"/>
      <c r="N569" s="353"/>
      <c r="O569" s="433"/>
    </row>
    <row r="570">
      <c r="A570" s="433"/>
      <c r="B570" s="456"/>
      <c r="C570" s="433"/>
      <c r="D570" s="433"/>
      <c r="E570" s="545"/>
      <c r="F570" s="353"/>
      <c r="G570" s="456"/>
      <c r="H570" s="455"/>
      <c r="I570" s="351"/>
      <c r="J570" s="433"/>
      <c r="K570" s="546"/>
      <c r="L570" s="351"/>
      <c r="M570" s="456"/>
      <c r="N570" s="353"/>
      <c r="O570" s="433"/>
    </row>
    <row r="571">
      <c r="A571" s="433"/>
      <c r="B571" s="456"/>
      <c r="C571" s="433"/>
      <c r="D571" s="433"/>
      <c r="E571" s="545"/>
      <c r="F571" s="353"/>
      <c r="G571" s="456"/>
      <c r="H571" s="455"/>
      <c r="I571" s="351"/>
      <c r="J571" s="433"/>
      <c r="K571" s="546"/>
      <c r="L571" s="351"/>
      <c r="M571" s="456"/>
      <c r="N571" s="353"/>
      <c r="O571" s="433"/>
    </row>
    <row r="572">
      <c r="A572" s="433"/>
      <c r="B572" s="456"/>
      <c r="C572" s="433"/>
      <c r="D572" s="433"/>
      <c r="E572" s="545"/>
      <c r="F572" s="353"/>
      <c r="G572" s="456"/>
      <c r="H572" s="455"/>
      <c r="I572" s="351"/>
      <c r="J572" s="433"/>
      <c r="K572" s="546"/>
      <c r="L572" s="351"/>
      <c r="M572" s="456"/>
      <c r="N572" s="353"/>
      <c r="O572" s="433"/>
    </row>
    <row r="573">
      <c r="A573" s="433"/>
      <c r="B573" s="456"/>
      <c r="C573" s="433"/>
      <c r="D573" s="433"/>
      <c r="E573" s="545"/>
      <c r="F573" s="353"/>
      <c r="G573" s="456"/>
      <c r="H573" s="455"/>
      <c r="I573" s="351"/>
      <c r="J573" s="433"/>
      <c r="K573" s="546"/>
      <c r="L573" s="351"/>
      <c r="M573" s="456"/>
      <c r="N573" s="353"/>
      <c r="O573" s="433"/>
    </row>
    <row r="574">
      <c r="A574" s="433"/>
      <c r="B574" s="456"/>
      <c r="C574" s="433"/>
      <c r="D574" s="433"/>
      <c r="E574" s="545"/>
      <c r="F574" s="353"/>
      <c r="G574" s="456"/>
      <c r="H574" s="455"/>
      <c r="I574" s="351"/>
      <c r="J574" s="433"/>
      <c r="K574" s="546"/>
      <c r="L574" s="351"/>
      <c r="M574" s="456"/>
      <c r="N574" s="353"/>
      <c r="O574" s="433"/>
    </row>
    <row r="575">
      <c r="A575" s="433"/>
      <c r="B575" s="456"/>
      <c r="C575" s="433"/>
      <c r="D575" s="433"/>
      <c r="E575" s="545"/>
      <c r="F575" s="353"/>
      <c r="G575" s="456"/>
      <c r="H575" s="455"/>
      <c r="I575" s="351"/>
      <c r="J575" s="433"/>
      <c r="K575" s="546"/>
      <c r="L575" s="351"/>
      <c r="M575" s="456"/>
      <c r="N575" s="353"/>
      <c r="O575" s="433"/>
    </row>
    <row r="576">
      <c r="A576" s="433"/>
      <c r="B576" s="456"/>
      <c r="C576" s="433"/>
      <c r="D576" s="433"/>
      <c r="E576" s="545"/>
      <c r="F576" s="353"/>
      <c r="G576" s="456"/>
      <c r="H576" s="455"/>
      <c r="I576" s="351"/>
      <c r="J576" s="433"/>
      <c r="K576" s="546"/>
      <c r="L576" s="351"/>
      <c r="M576" s="456"/>
      <c r="N576" s="353"/>
      <c r="O576" s="433"/>
    </row>
    <row r="577">
      <c r="A577" s="433"/>
      <c r="B577" s="456"/>
      <c r="C577" s="433"/>
      <c r="D577" s="433"/>
      <c r="E577" s="545"/>
      <c r="F577" s="353"/>
      <c r="G577" s="456"/>
      <c r="H577" s="455"/>
      <c r="I577" s="351"/>
      <c r="J577" s="433"/>
      <c r="K577" s="546"/>
      <c r="L577" s="351"/>
      <c r="M577" s="456"/>
      <c r="N577" s="353"/>
      <c r="O577" s="433"/>
    </row>
    <row r="578">
      <c r="A578" s="433"/>
      <c r="B578" s="456"/>
      <c r="C578" s="433"/>
      <c r="D578" s="433"/>
      <c r="E578" s="545"/>
      <c r="F578" s="353"/>
      <c r="G578" s="456"/>
      <c r="H578" s="455"/>
      <c r="I578" s="351"/>
      <c r="J578" s="433"/>
      <c r="K578" s="546"/>
      <c r="L578" s="351"/>
      <c r="M578" s="456"/>
      <c r="N578" s="353"/>
      <c r="O578" s="433"/>
    </row>
    <row r="579">
      <c r="A579" s="433"/>
      <c r="B579" s="456"/>
      <c r="C579" s="433"/>
      <c r="D579" s="433"/>
      <c r="E579" s="545"/>
      <c r="F579" s="353"/>
      <c r="G579" s="456"/>
      <c r="H579" s="455"/>
      <c r="I579" s="351"/>
      <c r="J579" s="433"/>
      <c r="K579" s="546"/>
      <c r="L579" s="351"/>
      <c r="M579" s="456"/>
      <c r="N579" s="353"/>
      <c r="O579" s="433"/>
    </row>
    <row r="580">
      <c r="A580" s="433"/>
      <c r="B580" s="456"/>
      <c r="C580" s="433"/>
      <c r="D580" s="433"/>
      <c r="E580" s="545"/>
      <c r="F580" s="353"/>
      <c r="G580" s="456"/>
      <c r="H580" s="455"/>
      <c r="I580" s="351"/>
      <c r="J580" s="433"/>
      <c r="K580" s="546"/>
      <c r="L580" s="351"/>
      <c r="M580" s="456"/>
      <c r="N580" s="353"/>
      <c r="O580" s="433"/>
    </row>
    <row r="581">
      <c r="A581" s="433"/>
      <c r="B581" s="456"/>
      <c r="C581" s="433"/>
      <c r="D581" s="433"/>
      <c r="E581" s="545"/>
      <c r="F581" s="353"/>
      <c r="G581" s="456"/>
      <c r="H581" s="455"/>
      <c r="I581" s="351"/>
      <c r="J581" s="433"/>
      <c r="K581" s="546"/>
      <c r="L581" s="351"/>
      <c r="M581" s="456"/>
      <c r="N581" s="353"/>
      <c r="O581" s="433"/>
    </row>
    <row r="582">
      <c r="A582" s="433"/>
      <c r="B582" s="456"/>
      <c r="C582" s="433"/>
      <c r="D582" s="433"/>
      <c r="E582" s="545"/>
      <c r="F582" s="353"/>
      <c r="G582" s="456"/>
      <c r="H582" s="455"/>
      <c r="I582" s="351"/>
      <c r="J582" s="433"/>
      <c r="K582" s="546"/>
      <c r="L582" s="351"/>
      <c r="M582" s="456"/>
      <c r="N582" s="353"/>
      <c r="O582" s="433"/>
    </row>
    <row r="583">
      <c r="A583" s="433"/>
      <c r="B583" s="456"/>
      <c r="C583" s="433"/>
      <c r="D583" s="433"/>
      <c r="E583" s="545"/>
      <c r="F583" s="353"/>
      <c r="G583" s="456"/>
      <c r="H583" s="455"/>
      <c r="I583" s="351"/>
      <c r="J583" s="433"/>
      <c r="K583" s="546"/>
      <c r="L583" s="351"/>
      <c r="M583" s="456"/>
      <c r="N583" s="353"/>
      <c r="O583" s="433"/>
    </row>
    <row r="584">
      <c r="A584" s="433"/>
      <c r="B584" s="456"/>
      <c r="C584" s="433"/>
      <c r="D584" s="433"/>
      <c r="E584" s="545"/>
      <c r="F584" s="353"/>
      <c r="G584" s="456"/>
      <c r="H584" s="455"/>
      <c r="I584" s="351"/>
      <c r="J584" s="433"/>
      <c r="K584" s="546"/>
      <c r="L584" s="351"/>
      <c r="M584" s="456"/>
      <c r="N584" s="353"/>
      <c r="O584" s="433"/>
    </row>
    <row r="585">
      <c r="A585" s="433"/>
      <c r="B585" s="456"/>
      <c r="C585" s="433"/>
      <c r="D585" s="433"/>
      <c r="E585" s="545"/>
      <c r="F585" s="353"/>
      <c r="G585" s="456"/>
      <c r="H585" s="455"/>
      <c r="I585" s="351"/>
      <c r="J585" s="433"/>
      <c r="K585" s="546"/>
      <c r="L585" s="351"/>
      <c r="M585" s="456"/>
      <c r="N585" s="353"/>
      <c r="O585" s="433"/>
    </row>
    <row r="586">
      <c r="A586" s="433"/>
      <c r="B586" s="456"/>
      <c r="C586" s="433"/>
      <c r="D586" s="433"/>
      <c r="E586" s="545"/>
      <c r="F586" s="353"/>
      <c r="G586" s="456"/>
      <c r="H586" s="455"/>
      <c r="I586" s="351"/>
      <c r="J586" s="433"/>
      <c r="K586" s="546"/>
      <c r="L586" s="351"/>
      <c r="M586" s="456"/>
      <c r="N586" s="353"/>
      <c r="O586" s="433"/>
    </row>
    <row r="587">
      <c r="A587" s="433"/>
      <c r="B587" s="456"/>
      <c r="C587" s="433"/>
      <c r="D587" s="433"/>
      <c r="E587" s="545"/>
      <c r="F587" s="353"/>
      <c r="G587" s="456"/>
      <c r="H587" s="455"/>
      <c r="I587" s="351"/>
      <c r="J587" s="433"/>
      <c r="K587" s="546"/>
      <c r="L587" s="351"/>
      <c r="M587" s="456"/>
      <c r="N587" s="353"/>
      <c r="O587" s="433"/>
    </row>
    <row r="588">
      <c r="A588" s="433"/>
      <c r="B588" s="456"/>
      <c r="C588" s="433"/>
      <c r="D588" s="433"/>
      <c r="E588" s="545"/>
      <c r="F588" s="353"/>
      <c r="G588" s="456"/>
      <c r="H588" s="455"/>
      <c r="I588" s="351"/>
      <c r="J588" s="433"/>
      <c r="K588" s="546"/>
      <c r="L588" s="351"/>
      <c r="M588" s="456"/>
      <c r="N588" s="353"/>
      <c r="O588" s="433"/>
    </row>
    <row r="589">
      <c r="A589" s="433"/>
      <c r="B589" s="456"/>
      <c r="C589" s="433"/>
      <c r="D589" s="433"/>
      <c r="E589" s="545"/>
      <c r="F589" s="353"/>
      <c r="G589" s="456"/>
      <c r="H589" s="455"/>
      <c r="I589" s="351"/>
      <c r="J589" s="433"/>
      <c r="K589" s="546"/>
      <c r="L589" s="351"/>
      <c r="M589" s="456"/>
      <c r="N589" s="353"/>
      <c r="O589" s="433"/>
    </row>
    <row r="590">
      <c r="A590" s="433"/>
      <c r="B590" s="456"/>
      <c r="C590" s="433"/>
      <c r="D590" s="433"/>
      <c r="E590" s="545"/>
      <c r="F590" s="353"/>
      <c r="G590" s="456"/>
      <c r="H590" s="455"/>
      <c r="I590" s="351"/>
      <c r="J590" s="433"/>
      <c r="K590" s="546"/>
      <c r="L590" s="351"/>
      <c r="M590" s="456"/>
      <c r="N590" s="353"/>
      <c r="O590" s="433"/>
    </row>
    <row r="591">
      <c r="A591" s="433"/>
      <c r="B591" s="456"/>
      <c r="C591" s="433"/>
      <c r="D591" s="433"/>
      <c r="E591" s="545"/>
      <c r="F591" s="353"/>
      <c r="G591" s="456"/>
      <c r="H591" s="455"/>
      <c r="I591" s="351"/>
      <c r="J591" s="433"/>
      <c r="K591" s="546"/>
      <c r="L591" s="351"/>
      <c r="M591" s="456"/>
      <c r="N591" s="353"/>
      <c r="O591" s="433"/>
    </row>
    <row r="592">
      <c r="A592" s="433"/>
      <c r="B592" s="456"/>
      <c r="C592" s="433"/>
      <c r="D592" s="433"/>
      <c r="E592" s="545"/>
      <c r="F592" s="353"/>
      <c r="G592" s="456"/>
      <c r="H592" s="455"/>
      <c r="I592" s="351"/>
      <c r="J592" s="433"/>
      <c r="K592" s="546"/>
      <c r="L592" s="351"/>
      <c r="M592" s="456"/>
      <c r="N592" s="353"/>
      <c r="O592" s="433"/>
    </row>
    <row r="593">
      <c r="A593" s="433"/>
      <c r="B593" s="456"/>
      <c r="C593" s="433"/>
      <c r="D593" s="433"/>
      <c r="E593" s="545"/>
      <c r="F593" s="353"/>
      <c r="G593" s="456"/>
      <c r="H593" s="455"/>
      <c r="I593" s="351"/>
      <c r="J593" s="433"/>
      <c r="K593" s="546"/>
      <c r="L593" s="351"/>
      <c r="M593" s="456"/>
      <c r="N593" s="353"/>
      <c r="O593" s="433"/>
    </row>
    <row r="594">
      <c r="A594" s="433"/>
      <c r="B594" s="456"/>
      <c r="C594" s="433"/>
      <c r="D594" s="433"/>
      <c r="E594" s="545"/>
      <c r="F594" s="353"/>
      <c r="G594" s="456"/>
      <c r="H594" s="455"/>
      <c r="I594" s="351"/>
      <c r="J594" s="433"/>
      <c r="K594" s="546"/>
      <c r="L594" s="351"/>
      <c r="M594" s="456"/>
      <c r="N594" s="353"/>
      <c r="O594" s="433"/>
    </row>
    <row r="595">
      <c r="A595" s="433"/>
      <c r="B595" s="456"/>
      <c r="C595" s="433"/>
      <c r="D595" s="433"/>
      <c r="E595" s="545"/>
      <c r="F595" s="353"/>
      <c r="G595" s="456"/>
      <c r="H595" s="455"/>
      <c r="I595" s="351"/>
      <c r="J595" s="433"/>
      <c r="K595" s="546"/>
      <c r="L595" s="351"/>
      <c r="M595" s="456"/>
      <c r="N595" s="353"/>
      <c r="O595" s="433"/>
    </row>
    <row r="596">
      <c r="A596" s="433"/>
      <c r="B596" s="456"/>
      <c r="C596" s="433"/>
      <c r="D596" s="433"/>
      <c r="E596" s="545"/>
      <c r="F596" s="353"/>
      <c r="G596" s="456"/>
      <c r="H596" s="455"/>
      <c r="I596" s="351"/>
      <c r="J596" s="433"/>
      <c r="K596" s="546"/>
      <c r="L596" s="351"/>
      <c r="M596" s="456"/>
      <c r="N596" s="353"/>
      <c r="O596" s="433"/>
    </row>
    <row r="597">
      <c r="A597" s="433"/>
      <c r="B597" s="456"/>
      <c r="C597" s="433"/>
      <c r="D597" s="433"/>
      <c r="E597" s="545"/>
      <c r="F597" s="353"/>
      <c r="G597" s="456"/>
      <c r="H597" s="455"/>
      <c r="I597" s="351"/>
      <c r="J597" s="433"/>
      <c r="K597" s="546"/>
      <c r="L597" s="351"/>
      <c r="M597" s="456"/>
      <c r="N597" s="353"/>
      <c r="O597" s="433"/>
    </row>
    <row r="598">
      <c r="A598" s="433"/>
      <c r="B598" s="456"/>
      <c r="C598" s="433"/>
      <c r="D598" s="433"/>
      <c r="E598" s="545"/>
      <c r="F598" s="353"/>
      <c r="G598" s="456"/>
      <c r="H598" s="455"/>
      <c r="I598" s="351"/>
      <c r="J598" s="433"/>
      <c r="K598" s="546"/>
      <c r="L598" s="351"/>
      <c r="M598" s="456"/>
      <c r="N598" s="353"/>
      <c r="O598" s="433"/>
    </row>
    <row r="599">
      <c r="A599" s="433"/>
      <c r="B599" s="456"/>
      <c r="C599" s="433"/>
      <c r="D599" s="433"/>
      <c r="E599" s="545"/>
      <c r="F599" s="353"/>
      <c r="G599" s="456"/>
      <c r="H599" s="455"/>
      <c r="I599" s="351"/>
      <c r="J599" s="433"/>
      <c r="K599" s="546"/>
      <c r="L599" s="351"/>
      <c r="M599" s="456"/>
      <c r="N599" s="353"/>
      <c r="O599" s="433"/>
    </row>
    <row r="600">
      <c r="A600" s="433"/>
      <c r="B600" s="456"/>
      <c r="C600" s="433"/>
      <c r="D600" s="433"/>
      <c r="E600" s="545"/>
      <c r="F600" s="353"/>
      <c r="G600" s="456"/>
      <c r="H600" s="455"/>
      <c r="I600" s="351"/>
      <c r="J600" s="433"/>
      <c r="K600" s="546"/>
      <c r="L600" s="351"/>
      <c r="M600" s="456"/>
      <c r="N600" s="353"/>
      <c r="O600" s="433"/>
    </row>
    <row r="601">
      <c r="A601" s="433"/>
      <c r="B601" s="456"/>
      <c r="C601" s="433"/>
      <c r="D601" s="433"/>
      <c r="E601" s="545"/>
      <c r="F601" s="353"/>
      <c r="G601" s="456"/>
      <c r="H601" s="455"/>
      <c r="I601" s="351"/>
      <c r="J601" s="433"/>
      <c r="K601" s="546"/>
      <c r="L601" s="351"/>
      <c r="M601" s="456"/>
      <c r="N601" s="353"/>
      <c r="O601" s="433"/>
    </row>
    <row r="602">
      <c r="A602" s="433"/>
      <c r="B602" s="456"/>
      <c r="C602" s="433"/>
      <c r="D602" s="433"/>
      <c r="E602" s="545"/>
      <c r="F602" s="353"/>
      <c r="G602" s="456"/>
      <c r="H602" s="455"/>
      <c r="I602" s="351"/>
      <c r="J602" s="433"/>
      <c r="K602" s="546"/>
      <c r="L602" s="351"/>
      <c r="M602" s="456"/>
      <c r="N602" s="353"/>
      <c r="O602" s="433"/>
    </row>
    <row r="603">
      <c r="A603" s="433"/>
      <c r="B603" s="456"/>
      <c r="C603" s="433"/>
      <c r="D603" s="433"/>
      <c r="E603" s="545"/>
      <c r="F603" s="353"/>
      <c r="G603" s="456"/>
      <c r="H603" s="455"/>
      <c r="I603" s="351"/>
      <c r="J603" s="433"/>
      <c r="K603" s="546"/>
      <c r="L603" s="351"/>
      <c r="M603" s="456"/>
      <c r="N603" s="353"/>
      <c r="O603" s="433"/>
    </row>
    <row r="604">
      <c r="A604" s="433"/>
      <c r="B604" s="456"/>
      <c r="C604" s="433"/>
      <c r="D604" s="433"/>
      <c r="E604" s="545"/>
      <c r="F604" s="353"/>
      <c r="G604" s="456"/>
      <c r="H604" s="455"/>
      <c r="I604" s="351"/>
      <c r="J604" s="433"/>
      <c r="K604" s="546"/>
      <c r="L604" s="351"/>
      <c r="M604" s="456"/>
      <c r="N604" s="353"/>
      <c r="O604" s="433"/>
    </row>
    <row r="605">
      <c r="A605" s="433"/>
      <c r="B605" s="456"/>
      <c r="C605" s="433"/>
      <c r="D605" s="433"/>
      <c r="E605" s="545"/>
      <c r="F605" s="353"/>
      <c r="G605" s="456"/>
      <c r="H605" s="455"/>
      <c r="I605" s="351"/>
      <c r="J605" s="433"/>
      <c r="K605" s="546"/>
      <c r="L605" s="351"/>
      <c r="M605" s="456"/>
      <c r="N605" s="353"/>
      <c r="O605" s="433"/>
    </row>
    <row r="606">
      <c r="A606" s="433"/>
      <c r="B606" s="456"/>
      <c r="C606" s="433"/>
      <c r="D606" s="433"/>
      <c r="E606" s="545"/>
      <c r="F606" s="353"/>
      <c r="G606" s="456"/>
      <c r="H606" s="455"/>
      <c r="I606" s="351"/>
      <c r="J606" s="433"/>
      <c r="K606" s="546"/>
      <c r="L606" s="351"/>
      <c r="M606" s="456"/>
      <c r="N606" s="353"/>
      <c r="O606" s="433"/>
    </row>
    <row r="607">
      <c r="A607" s="433"/>
      <c r="B607" s="456"/>
      <c r="C607" s="433"/>
      <c r="D607" s="433"/>
      <c r="E607" s="545"/>
      <c r="F607" s="353"/>
      <c r="G607" s="456"/>
      <c r="H607" s="455"/>
      <c r="I607" s="351"/>
      <c r="J607" s="433"/>
      <c r="K607" s="546"/>
      <c r="L607" s="351"/>
      <c r="M607" s="456"/>
      <c r="N607" s="353"/>
      <c r="O607" s="433"/>
    </row>
    <row r="608">
      <c r="A608" s="433"/>
      <c r="B608" s="456"/>
      <c r="C608" s="433"/>
      <c r="D608" s="433"/>
      <c r="E608" s="545"/>
      <c r="F608" s="353"/>
      <c r="G608" s="456"/>
      <c r="H608" s="455"/>
      <c r="I608" s="351"/>
      <c r="J608" s="433"/>
      <c r="K608" s="546"/>
      <c r="L608" s="351"/>
      <c r="M608" s="456"/>
      <c r="N608" s="353"/>
      <c r="O608" s="433"/>
    </row>
    <row r="609">
      <c r="A609" s="433"/>
      <c r="B609" s="456"/>
      <c r="C609" s="433"/>
      <c r="D609" s="433"/>
      <c r="E609" s="545"/>
      <c r="F609" s="353"/>
      <c r="G609" s="456"/>
      <c r="H609" s="455"/>
      <c r="I609" s="351"/>
      <c r="J609" s="433"/>
      <c r="K609" s="546"/>
      <c r="L609" s="351"/>
      <c r="M609" s="456"/>
      <c r="N609" s="353"/>
      <c r="O609" s="433"/>
    </row>
    <row r="610">
      <c r="A610" s="433"/>
      <c r="B610" s="456"/>
      <c r="C610" s="433"/>
      <c r="D610" s="433"/>
      <c r="E610" s="545"/>
      <c r="F610" s="353"/>
      <c r="G610" s="456"/>
      <c r="H610" s="455"/>
      <c r="I610" s="351"/>
      <c r="J610" s="433"/>
      <c r="K610" s="546"/>
      <c r="L610" s="351"/>
      <c r="M610" s="456"/>
      <c r="N610" s="353"/>
      <c r="O610" s="433"/>
    </row>
    <row r="611">
      <c r="A611" s="433"/>
      <c r="B611" s="456"/>
      <c r="C611" s="433"/>
      <c r="D611" s="433"/>
      <c r="E611" s="545"/>
      <c r="F611" s="353"/>
      <c r="G611" s="456"/>
      <c r="H611" s="455"/>
      <c r="I611" s="351"/>
      <c r="J611" s="433"/>
      <c r="K611" s="546"/>
      <c r="L611" s="351"/>
      <c r="M611" s="456"/>
      <c r="N611" s="353"/>
      <c r="O611" s="433"/>
    </row>
    <row r="612">
      <c r="A612" s="433"/>
      <c r="B612" s="456"/>
      <c r="C612" s="433"/>
      <c r="D612" s="433"/>
      <c r="E612" s="545"/>
      <c r="F612" s="353"/>
      <c r="G612" s="456"/>
      <c r="H612" s="455"/>
      <c r="I612" s="351"/>
      <c r="J612" s="433"/>
      <c r="K612" s="546"/>
      <c r="L612" s="351"/>
      <c r="M612" s="456"/>
      <c r="N612" s="353"/>
      <c r="O612" s="433"/>
    </row>
    <row r="613">
      <c r="A613" s="433"/>
      <c r="B613" s="456"/>
      <c r="C613" s="433"/>
      <c r="D613" s="433"/>
      <c r="E613" s="545"/>
      <c r="F613" s="353"/>
      <c r="G613" s="456"/>
      <c r="H613" s="455"/>
      <c r="I613" s="351"/>
      <c r="J613" s="433"/>
      <c r="K613" s="546"/>
      <c r="L613" s="351"/>
      <c r="M613" s="456"/>
      <c r="N613" s="353"/>
      <c r="O613" s="433"/>
    </row>
    <row r="614">
      <c r="A614" s="433"/>
      <c r="B614" s="456"/>
      <c r="C614" s="433"/>
      <c r="D614" s="433"/>
      <c r="E614" s="545"/>
      <c r="F614" s="353"/>
      <c r="G614" s="456"/>
      <c r="H614" s="455"/>
      <c r="I614" s="351"/>
      <c r="J614" s="433"/>
      <c r="K614" s="546"/>
      <c r="L614" s="351"/>
      <c r="M614" s="456"/>
      <c r="N614" s="353"/>
      <c r="O614" s="433"/>
    </row>
    <row r="615">
      <c r="A615" s="433"/>
      <c r="B615" s="456"/>
      <c r="C615" s="433"/>
      <c r="D615" s="433"/>
      <c r="E615" s="545"/>
      <c r="F615" s="353"/>
      <c r="G615" s="456"/>
      <c r="H615" s="455"/>
      <c r="I615" s="351"/>
      <c r="J615" s="433"/>
      <c r="K615" s="546"/>
      <c r="L615" s="351"/>
      <c r="M615" s="456"/>
      <c r="N615" s="353"/>
      <c r="O615" s="433"/>
    </row>
    <row r="616">
      <c r="A616" s="433"/>
      <c r="B616" s="456"/>
      <c r="C616" s="433"/>
      <c r="D616" s="433"/>
      <c r="E616" s="545"/>
      <c r="F616" s="353"/>
      <c r="G616" s="456"/>
      <c r="H616" s="455"/>
      <c r="I616" s="351"/>
      <c r="J616" s="433"/>
      <c r="K616" s="546"/>
      <c r="L616" s="351"/>
      <c r="M616" s="456"/>
      <c r="N616" s="353"/>
      <c r="O616" s="433"/>
    </row>
    <row r="617">
      <c r="A617" s="433"/>
      <c r="B617" s="456"/>
      <c r="C617" s="433"/>
      <c r="D617" s="433"/>
      <c r="E617" s="545"/>
      <c r="F617" s="353"/>
      <c r="G617" s="456"/>
      <c r="H617" s="455"/>
      <c r="I617" s="351"/>
      <c r="J617" s="433"/>
      <c r="K617" s="546"/>
      <c r="L617" s="351"/>
      <c r="M617" s="456"/>
      <c r="N617" s="353"/>
      <c r="O617" s="433"/>
    </row>
    <row r="618">
      <c r="A618" s="433"/>
      <c r="B618" s="456"/>
      <c r="C618" s="433"/>
      <c r="D618" s="433"/>
      <c r="E618" s="545"/>
      <c r="F618" s="353"/>
      <c r="G618" s="456"/>
      <c r="H618" s="455"/>
      <c r="I618" s="351"/>
      <c r="J618" s="433"/>
      <c r="K618" s="546"/>
      <c r="L618" s="351"/>
      <c r="M618" s="456"/>
      <c r="N618" s="353"/>
      <c r="O618" s="433"/>
    </row>
    <row r="619">
      <c r="A619" s="433"/>
      <c r="B619" s="456"/>
      <c r="C619" s="433"/>
      <c r="D619" s="433"/>
      <c r="E619" s="545"/>
      <c r="F619" s="353"/>
      <c r="G619" s="456"/>
      <c r="H619" s="455"/>
      <c r="I619" s="351"/>
      <c r="J619" s="433"/>
      <c r="K619" s="546"/>
      <c r="L619" s="351"/>
      <c r="M619" s="456"/>
      <c r="N619" s="353"/>
      <c r="O619" s="433"/>
    </row>
    <row r="620">
      <c r="A620" s="433"/>
      <c r="B620" s="456"/>
      <c r="C620" s="433"/>
      <c r="D620" s="433"/>
      <c r="E620" s="545"/>
      <c r="F620" s="353"/>
      <c r="G620" s="456"/>
      <c r="H620" s="455"/>
      <c r="I620" s="351"/>
      <c r="J620" s="433"/>
      <c r="K620" s="546"/>
      <c r="L620" s="351"/>
      <c r="M620" s="456"/>
      <c r="N620" s="353"/>
      <c r="O620" s="433"/>
    </row>
    <row r="621">
      <c r="A621" s="433"/>
      <c r="B621" s="456"/>
      <c r="C621" s="433"/>
      <c r="D621" s="433"/>
      <c r="E621" s="545"/>
      <c r="F621" s="353"/>
      <c r="G621" s="456"/>
      <c r="H621" s="455"/>
      <c r="I621" s="351"/>
      <c r="J621" s="433"/>
      <c r="K621" s="546"/>
      <c r="L621" s="351"/>
      <c r="M621" s="456"/>
      <c r="N621" s="353"/>
      <c r="O621" s="433"/>
    </row>
    <row r="622">
      <c r="A622" s="433"/>
      <c r="B622" s="456"/>
      <c r="C622" s="433"/>
      <c r="D622" s="433"/>
      <c r="E622" s="545"/>
      <c r="F622" s="353"/>
      <c r="G622" s="456"/>
      <c r="H622" s="455"/>
      <c r="I622" s="351"/>
      <c r="J622" s="433"/>
      <c r="K622" s="546"/>
      <c r="L622" s="351"/>
      <c r="M622" s="456"/>
      <c r="N622" s="353"/>
      <c r="O622" s="433"/>
    </row>
    <row r="623">
      <c r="A623" s="433"/>
      <c r="B623" s="456"/>
      <c r="C623" s="433"/>
      <c r="D623" s="433"/>
      <c r="E623" s="545"/>
      <c r="F623" s="353"/>
      <c r="G623" s="456"/>
      <c r="H623" s="455"/>
      <c r="I623" s="351"/>
      <c r="J623" s="433"/>
      <c r="K623" s="546"/>
      <c r="L623" s="351"/>
      <c r="M623" s="456"/>
      <c r="N623" s="353"/>
      <c r="O623" s="433"/>
    </row>
    <row r="624">
      <c r="A624" s="433"/>
      <c r="B624" s="456"/>
      <c r="C624" s="433"/>
      <c r="D624" s="433"/>
      <c r="E624" s="545"/>
      <c r="F624" s="353"/>
      <c r="G624" s="456"/>
      <c r="H624" s="455"/>
      <c r="I624" s="351"/>
      <c r="J624" s="433"/>
      <c r="K624" s="546"/>
      <c r="L624" s="351"/>
      <c r="M624" s="456"/>
      <c r="N624" s="353"/>
      <c r="O624" s="433"/>
    </row>
    <row r="625">
      <c r="A625" s="433"/>
      <c r="B625" s="456"/>
      <c r="C625" s="433"/>
      <c r="D625" s="433"/>
      <c r="E625" s="545"/>
      <c r="F625" s="353"/>
      <c r="G625" s="456"/>
      <c r="H625" s="455"/>
      <c r="I625" s="351"/>
      <c r="J625" s="433"/>
      <c r="K625" s="546"/>
      <c r="L625" s="351"/>
      <c r="M625" s="456"/>
      <c r="N625" s="353"/>
      <c r="O625" s="433"/>
    </row>
    <row r="626">
      <c r="A626" s="433"/>
      <c r="B626" s="456"/>
      <c r="C626" s="433"/>
      <c r="D626" s="433"/>
      <c r="E626" s="545"/>
      <c r="F626" s="353"/>
      <c r="G626" s="456"/>
      <c r="H626" s="455"/>
      <c r="I626" s="351"/>
      <c r="J626" s="433"/>
      <c r="K626" s="546"/>
      <c r="L626" s="351"/>
      <c r="M626" s="456"/>
      <c r="N626" s="353"/>
      <c r="O626" s="433"/>
    </row>
    <row r="627">
      <c r="A627" s="433"/>
      <c r="B627" s="456"/>
      <c r="C627" s="433"/>
      <c r="D627" s="433"/>
      <c r="E627" s="545"/>
      <c r="F627" s="353"/>
      <c r="G627" s="456"/>
      <c r="H627" s="455"/>
      <c r="I627" s="351"/>
      <c r="J627" s="433"/>
      <c r="K627" s="546"/>
      <c r="L627" s="351"/>
      <c r="M627" s="456"/>
      <c r="N627" s="353"/>
      <c r="O627" s="433"/>
    </row>
    <row r="628">
      <c r="A628" s="433"/>
      <c r="B628" s="456"/>
      <c r="C628" s="433"/>
      <c r="D628" s="433"/>
      <c r="E628" s="545"/>
      <c r="F628" s="353"/>
      <c r="G628" s="456"/>
      <c r="H628" s="455"/>
      <c r="I628" s="351"/>
      <c r="J628" s="433"/>
      <c r="K628" s="546"/>
      <c r="L628" s="351"/>
      <c r="M628" s="456"/>
      <c r="N628" s="353"/>
      <c r="O628" s="433"/>
    </row>
    <row r="629">
      <c r="A629" s="433"/>
      <c r="B629" s="456"/>
      <c r="C629" s="433"/>
      <c r="D629" s="433"/>
      <c r="E629" s="545"/>
      <c r="F629" s="353"/>
      <c r="G629" s="456"/>
      <c r="H629" s="455"/>
      <c r="I629" s="351"/>
      <c r="J629" s="433"/>
      <c r="K629" s="546"/>
      <c r="L629" s="351"/>
      <c r="M629" s="456"/>
      <c r="N629" s="353"/>
      <c r="O629" s="433"/>
    </row>
    <row r="630">
      <c r="A630" s="433"/>
      <c r="B630" s="456"/>
      <c r="C630" s="433"/>
      <c r="D630" s="433"/>
      <c r="E630" s="545"/>
      <c r="F630" s="353"/>
      <c r="G630" s="456"/>
      <c r="H630" s="455"/>
      <c r="I630" s="351"/>
      <c r="J630" s="433"/>
      <c r="K630" s="546"/>
      <c r="L630" s="351"/>
      <c r="M630" s="456"/>
      <c r="N630" s="353"/>
      <c r="O630" s="433"/>
    </row>
    <row r="631">
      <c r="A631" s="433"/>
      <c r="B631" s="456"/>
      <c r="C631" s="433"/>
      <c r="D631" s="433"/>
      <c r="E631" s="545"/>
      <c r="F631" s="353"/>
      <c r="G631" s="456"/>
      <c r="H631" s="455"/>
      <c r="I631" s="351"/>
      <c r="J631" s="433"/>
      <c r="K631" s="546"/>
      <c r="L631" s="351"/>
      <c r="M631" s="456"/>
      <c r="N631" s="353"/>
      <c r="O631" s="433"/>
    </row>
    <row r="632">
      <c r="A632" s="433"/>
      <c r="B632" s="456"/>
      <c r="C632" s="433"/>
      <c r="D632" s="433"/>
      <c r="E632" s="545"/>
      <c r="F632" s="353"/>
      <c r="G632" s="456"/>
      <c r="H632" s="455"/>
      <c r="I632" s="351"/>
      <c r="J632" s="433"/>
      <c r="K632" s="546"/>
      <c r="L632" s="351"/>
      <c r="M632" s="456"/>
      <c r="N632" s="353"/>
      <c r="O632" s="433"/>
    </row>
    <row r="633">
      <c r="A633" s="433"/>
      <c r="B633" s="456"/>
      <c r="C633" s="433"/>
      <c r="D633" s="433"/>
      <c r="E633" s="545"/>
      <c r="F633" s="353"/>
      <c r="G633" s="456"/>
      <c r="H633" s="455"/>
      <c r="I633" s="351"/>
      <c r="J633" s="433"/>
      <c r="K633" s="546"/>
      <c r="L633" s="351"/>
      <c r="M633" s="456"/>
      <c r="N633" s="353"/>
      <c r="O633" s="433"/>
    </row>
    <row r="634">
      <c r="A634" s="433"/>
      <c r="B634" s="456"/>
      <c r="C634" s="433"/>
      <c r="D634" s="433"/>
      <c r="E634" s="545"/>
      <c r="F634" s="353"/>
      <c r="G634" s="456"/>
      <c r="H634" s="455"/>
      <c r="I634" s="351"/>
      <c r="J634" s="433"/>
      <c r="K634" s="546"/>
      <c r="L634" s="351"/>
      <c r="M634" s="456"/>
      <c r="N634" s="353"/>
      <c r="O634" s="433"/>
    </row>
    <row r="635">
      <c r="A635" s="433"/>
      <c r="B635" s="456"/>
      <c r="C635" s="433"/>
      <c r="D635" s="433"/>
      <c r="E635" s="545"/>
      <c r="F635" s="353"/>
      <c r="G635" s="456"/>
      <c r="H635" s="455"/>
      <c r="I635" s="351"/>
      <c r="J635" s="433"/>
      <c r="K635" s="546"/>
      <c r="L635" s="351"/>
      <c r="M635" s="456"/>
      <c r="N635" s="353"/>
      <c r="O635" s="433"/>
    </row>
    <row r="636">
      <c r="A636" s="433"/>
      <c r="B636" s="456"/>
      <c r="C636" s="433"/>
      <c r="D636" s="433"/>
      <c r="E636" s="545"/>
      <c r="F636" s="353"/>
      <c r="G636" s="456"/>
      <c r="H636" s="455"/>
      <c r="I636" s="351"/>
      <c r="J636" s="433"/>
      <c r="K636" s="546"/>
      <c r="L636" s="351"/>
      <c r="M636" s="456"/>
      <c r="N636" s="353"/>
      <c r="O636" s="433"/>
    </row>
    <row r="637">
      <c r="A637" s="433"/>
      <c r="B637" s="456"/>
      <c r="C637" s="433"/>
      <c r="D637" s="433"/>
      <c r="E637" s="545"/>
      <c r="F637" s="353"/>
      <c r="G637" s="456"/>
      <c r="H637" s="455"/>
      <c r="I637" s="351"/>
      <c r="J637" s="433"/>
      <c r="K637" s="546"/>
      <c r="L637" s="351"/>
      <c r="M637" s="456"/>
      <c r="N637" s="353"/>
      <c r="O637" s="433"/>
    </row>
    <row r="638">
      <c r="A638" s="433"/>
      <c r="B638" s="456"/>
      <c r="C638" s="433"/>
      <c r="D638" s="433"/>
      <c r="E638" s="545"/>
      <c r="F638" s="353"/>
      <c r="G638" s="456"/>
      <c r="H638" s="455"/>
      <c r="I638" s="351"/>
      <c r="J638" s="433"/>
      <c r="K638" s="546"/>
      <c r="L638" s="351"/>
      <c r="M638" s="456"/>
      <c r="N638" s="353"/>
      <c r="O638" s="433"/>
    </row>
    <row r="639">
      <c r="A639" s="433"/>
      <c r="B639" s="456"/>
      <c r="C639" s="433"/>
      <c r="D639" s="433"/>
      <c r="E639" s="545"/>
      <c r="F639" s="353"/>
      <c r="G639" s="456"/>
      <c r="H639" s="455"/>
      <c r="I639" s="351"/>
      <c r="J639" s="433"/>
      <c r="K639" s="546"/>
      <c r="L639" s="351"/>
      <c r="M639" s="456"/>
      <c r="N639" s="353"/>
      <c r="O639" s="433"/>
    </row>
    <row r="640">
      <c r="A640" s="433"/>
      <c r="B640" s="456"/>
      <c r="C640" s="433"/>
      <c r="D640" s="433"/>
      <c r="E640" s="545"/>
      <c r="F640" s="353"/>
      <c r="G640" s="456"/>
      <c r="H640" s="455"/>
      <c r="I640" s="351"/>
      <c r="J640" s="433"/>
      <c r="K640" s="546"/>
      <c r="L640" s="351"/>
      <c r="M640" s="456"/>
      <c r="N640" s="353"/>
      <c r="O640" s="433"/>
    </row>
    <row r="641">
      <c r="A641" s="433"/>
      <c r="B641" s="456"/>
      <c r="C641" s="433"/>
      <c r="D641" s="433"/>
      <c r="E641" s="545"/>
      <c r="F641" s="353"/>
      <c r="G641" s="456"/>
      <c r="H641" s="455"/>
      <c r="I641" s="351"/>
      <c r="J641" s="433"/>
      <c r="K641" s="546"/>
      <c r="L641" s="351"/>
      <c r="M641" s="456"/>
      <c r="N641" s="353"/>
      <c r="O641" s="433"/>
    </row>
    <row r="642">
      <c r="A642" s="433"/>
      <c r="B642" s="456"/>
      <c r="C642" s="433"/>
      <c r="D642" s="433"/>
      <c r="E642" s="545"/>
      <c r="F642" s="353"/>
      <c r="G642" s="456"/>
      <c r="H642" s="455"/>
      <c r="I642" s="351"/>
      <c r="J642" s="433"/>
      <c r="K642" s="546"/>
      <c r="L642" s="351"/>
      <c r="M642" s="456"/>
      <c r="N642" s="353"/>
      <c r="O642" s="433"/>
    </row>
    <row r="643">
      <c r="A643" s="433"/>
      <c r="B643" s="456"/>
      <c r="C643" s="433"/>
      <c r="D643" s="433"/>
      <c r="E643" s="545"/>
      <c r="F643" s="353"/>
      <c r="G643" s="456"/>
      <c r="H643" s="455"/>
      <c r="I643" s="351"/>
      <c r="J643" s="433"/>
      <c r="K643" s="546"/>
      <c r="L643" s="351"/>
      <c r="M643" s="456"/>
      <c r="N643" s="353"/>
      <c r="O643" s="433"/>
    </row>
    <row r="644">
      <c r="A644" s="433"/>
      <c r="B644" s="456"/>
      <c r="C644" s="433"/>
      <c r="D644" s="433"/>
      <c r="E644" s="545"/>
      <c r="F644" s="353"/>
      <c r="G644" s="456"/>
      <c r="H644" s="455"/>
      <c r="I644" s="351"/>
      <c r="J644" s="433"/>
      <c r="K644" s="546"/>
      <c r="L644" s="351"/>
      <c r="M644" s="456"/>
      <c r="N644" s="353"/>
      <c r="O644" s="433"/>
    </row>
    <row r="645">
      <c r="A645" s="433"/>
      <c r="B645" s="456"/>
      <c r="C645" s="433"/>
      <c r="D645" s="433"/>
      <c r="E645" s="545"/>
      <c r="F645" s="353"/>
      <c r="G645" s="456"/>
      <c r="H645" s="455"/>
      <c r="I645" s="351"/>
      <c r="J645" s="433"/>
      <c r="K645" s="546"/>
      <c r="L645" s="351"/>
      <c r="M645" s="456"/>
      <c r="N645" s="353"/>
      <c r="O645" s="433"/>
    </row>
    <row r="646">
      <c r="A646" s="433"/>
      <c r="B646" s="456"/>
      <c r="C646" s="433"/>
      <c r="D646" s="433"/>
      <c r="E646" s="545"/>
      <c r="F646" s="353"/>
      <c r="G646" s="456"/>
      <c r="H646" s="455"/>
      <c r="I646" s="351"/>
      <c r="J646" s="433"/>
      <c r="K646" s="546"/>
      <c r="L646" s="351"/>
      <c r="M646" s="456"/>
      <c r="N646" s="353"/>
      <c r="O646" s="433"/>
    </row>
    <row r="647">
      <c r="A647" s="433"/>
      <c r="B647" s="456"/>
      <c r="C647" s="433"/>
      <c r="D647" s="433"/>
      <c r="E647" s="545"/>
      <c r="F647" s="353"/>
      <c r="G647" s="456"/>
      <c r="H647" s="455"/>
      <c r="I647" s="351"/>
      <c r="J647" s="433"/>
      <c r="K647" s="546"/>
      <c r="L647" s="351"/>
      <c r="M647" s="456"/>
      <c r="N647" s="353"/>
      <c r="O647" s="433"/>
    </row>
    <row r="648">
      <c r="A648" s="433"/>
      <c r="B648" s="456"/>
      <c r="C648" s="433"/>
      <c r="D648" s="433"/>
      <c r="E648" s="545"/>
      <c r="F648" s="353"/>
      <c r="G648" s="456"/>
      <c r="H648" s="455"/>
      <c r="I648" s="351"/>
      <c r="J648" s="433"/>
      <c r="K648" s="546"/>
      <c r="L648" s="351"/>
      <c r="M648" s="456"/>
      <c r="N648" s="353"/>
      <c r="O648" s="433"/>
    </row>
    <row r="649">
      <c r="A649" s="433"/>
      <c r="B649" s="456"/>
      <c r="C649" s="433"/>
      <c r="D649" s="433"/>
      <c r="E649" s="545"/>
      <c r="F649" s="353"/>
      <c r="G649" s="456"/>
      <c r="H649" s="455"/>
      <c r="I649" s="351"/>
      <c r="J649" s="433"/>
      <c r="K649" s="546"/>
      <c r="L649" s="351"/>
      <c r="M649" s="456"/>
      <c r="N649" s="353"/>
      <c r="O649" s="433"/>
    </row>
    <row r="650">
      <c r="A650" s="433"/>
      <c r="B650" s="456"/>
      <c r="C650" s="433"/>
      <c r="D650" s="433"/>
      <c r="E650" s="545"/>
      <c r="F650" s="353"/>
      <c r="G650" s="456"/>
      <c r="H650" s="455"/>
      <c r="I650" s="351"/>
      <c r="J650" s="433"/>
      <c r="K650" s="546"/>
      <c r="L650" s="351"/>
      <c r="M650" s="456"/>
      <c r="N650" s="353"/>
      <c r="O650" s="433"/>
    </row>
    <row r="651">
      <c r="A651" s="433"/>
      <c r="B651" s="456"/>
      <c r="C651" s="433"/>
      <c r="D651" s="433"/>
      <c r="E651" s="545"/>
      <c r="F651" s="353"/>
      <c r="G651" s="456"/>
      <c r="H651" s="455"/>
      <c r="I651" s="351"/>
      <c r="J651" s="433"/>
      <c r="K651" s="546"/>
      <c r="L651" s="351"/>
      <c r="M651" s="456"/>
      <c r="N651" s="353"/>
      <c r="O651" s="433"/>
    </row>
    <row r="652">
      <c r="A652" s="433"/>
      <c r="B652" s="456"/>
      <c r="C652" s="433"/>
      <c r="D652" s="433"/>
      <c r="E652" s="545"/>
      <c r="F652" s="353"/>
      <c r="G652" s="456"/>
      <c r="H652" s="455"/>
      <c r="I652" s="351"/>
      <c r="J652" s="433"/>
      <c r="K652" s="546"/>
      <c r="L652" s="351"/>
      <c r="M652" s="456"/>
      <c r="N652" s="353"/>
      <c r="O652" s="433"/>
    </row>
    <row r="653">
      <c r="A653" s="433"/>
      <c r="B653" s="456"/>
      <c r="C653" s="433"/>
      <c r="D653" s="433"/>
      <c r="E653" s="545"/>
      <c r="F653" s="353"/>
      <c r="G653" s="456"/>
      <c r="H653" s="455"/>
      <c r="I653" s="351"/>
      <c r="J653" s="433"/>
      <c r="K653" s="546"/>
      <c r="L653" s="351"/>
      <c r="M653" s="456"/>
      <c r="N653" s="353"/>
      <c r="O653" s="433"/>
    </row>
    <row r="654">
      <c r="A654" s="433"/>
      <c r="B654" s="456"/>
      <c r="C654" s="433"/>
      <c r="D654" s="433"/>
      <c r="E654" s="545"/>
      <c r="F654" s="353"/>
      <c r="G654" s="456"/>
      <c r="H654" s="455"/>
      <c r="I654" s="351"/>
      <c r="J654" s="433"/>
      <c r="K654" s="546"/>
      <c r="L654" s="351"/>
      <c r="M654" s="456"/>
      <c r="N654" s="353"/>
      <c r="O654" s="433"/>
    </row>
    <row r="655">
      <c r="A655" s="433"/>
      <c r="B655" s="456"/>
      <c r="C655" s="433"/>
      <c r="D655" s="433"/>
      <c r="E655" s="545"/>
      <c r="F655" s="353"/>
      <c r="G655" s="456"/>
      <c r="H655" s="455"/>
      <c r="I655" s="351"/>
      <c r="J655" s="433"/>
      <c r="K655" s="546"/>
      <c r="L655" s="351"/>
      <c r="M655" s="456"/>
      <c r="N655" s="353"/>
      <c r="O655" s="433"/>
    </row>
    <row r="656">
      <c r="A656" s="433"/>
      <c r="B656" s="456"/>
      <c r="C656" s="433"/>
      <c r="D656" s="433"/>
      <c r="E656" s="545"/>
      <c r="F656" s="353"/>
      <c r="G656" s="456"/>
      <c r="H656" s="455"/>
      <c r="I656" s="351"/>
      <c r="J656" s="433"/>
      <c r="K656" s="546"/>
      <c r="L656" s="351"/>
      <c r="M656" s="456"/>
      <c r="N656" s="353"/>
      <c r="O656" s="433"/>
    </row>
    <row r="657">
      <c r="A657" s="433"/>
      <c r="B657" s="456"/>
      <c r="C657" s="433"/>
      <c r="D657" s="433"/>
      <c r="E657" s="545"/>
      <c r="F657" s="353"/>
      <c r="G657" s="456"/>
      <c r="H657" s="455"/>
      <c r="I657" s="351"/>
      <c r="J657" s="433"/>
      <c r="K657" s="546"/>
      <c r="L657" s="351"/>
      <c r="M657" s="456"/>
      <c r="N657" s="353"/>
      <c r="O657" s="433"/>
    </row>
    <row r="658">
      <c r="A658" s="433"/>
      <c r="B658" s="456"/>
      <c r="C658" s="433"/>
      <c r="D658" s="433"/>
      <c r="E658" s="545"/>
      <c r="F658" s="353"/>
      <c r="G658" s="456"/>
      <c r="H658" s="455"/>
      <c r="I658" s="351"/>
      <c r="J658" s="433"/>
      <c r="K658" s="546"/>
      <c r="L658" s="351"/>
      <c r="M658" s="456"/>
      <c r="N658" s="353"/>
      <c r="O658" s="433"/>
    </row>
    <row r="659">
      <c r="A659" s="433"/>
      <c r="B659" s="456"/>
      <c r="C659" s="433"/>
      <c r="D659" s="433"/>
      <c r="E659" s="545"/>
      <c r="F659" s="353"/>
      <c r="G659" s="456"/>
      <c r="H659" s="455"/>
      <c r="I659" s="351"/>
      <c r="J659" s="433"/>
      <c r="K659" s="546"/>
      <c r="L659" s="351"/>
      <c r="M659" s="456"/>
      <c r="N659" s="353"/>
      <c r="O659" s="433"/>
    </row>
    <row r="660">
      <c r="A660" s="433"/>
      <c r="B660" s="456"/>
      <c r="C660" s="433"/>
      <c r="D660" s="433"/>
      <c r="E660" s="545"/>
      <c r="F660" s="353"/>
      <c r="G660" s="456"/>
      <c r="H660" s="455"/>
      <c r="I660" s="351"/>
      <c r="J660" s="433"/>
      <c r="K660" s="546"/>
      <c r="L660" s="351"/>
      <c r="M660" s="456"/>
      <c r="N660" s="353"/>
      <c r="O660" s="433"/>
    </row>
    <row r="661">
      <c r="A661" s="433"/>
      <c r="B661" s="456"/>
      <c r="C661" s="433"/>
      <c r="D661" s="433"/>
      <c r="E661" s="545"/>
      <c r="F661" s="353"/>
      <c r="G661" s="456"/>
      <c r="H661" s="455"/>
      <c r="I661" s="351"/>
      <c r="J661" s="433"/>
      <c r="K661" s="546"/>
      <c r="L661" s="351"/>
      <c r="M661" s="456"/>
      <c r="N661" s="353"/>
      <c r="O661" s="433"/>
    </row>
    <row r="662">
      <c r="A662" s="433"/>
      <c r="B662" s="456"/>
      <c r="C662" s="433"/>
      <c r="D662" s="433"/>
      <c r="E662" s="545"/>
      <c r="F662" s="353"/>
      <c r="G662" s="456"/>
      <c r="H662" s="455"/>
      <c r="I662" s="351"/>
      <c r="J662" s="433"/>
      <c r="K662" s="546"/>
      <c r="L662" s="351"/>
      <c r="M662" s="456"/>
      <c r="N662" s="353"/>
      <c r="O662" s="433"/>
    </row>
    <row r="663">
      <c r="A663" s="433"/>
      <c r="B663" s="456"/>
      <c r="C663" s="433"/>
      <c r="D663" s="433"/>
      <c r="E663" s="545"/>
      <c r="F663" s="353"/>
      <c r="G663" s="456"/>
      <c r="H663" s="455"/>
      <c r="I663" s="351"/>
      <c r="J663" s="433"/>
      <c r="K663" s="546"/>
      <c r="L663" s="351"/>
      <c r="M663" s="456"/>
      <c r="N663" s="353"/>
      <c r="O663" s="433"/>
    </row>
    <row r="664">
      <c r="A664" s="433"/>
      <c r="B664" s="456"/>
      <c r="C664" s="433"/>
      <c r="D664" s="433"/>
      <c r="E664" s="545"/>
      <c r="F664" s="353"/>
      <c r="G664" s="456"/>
      <c r="H664" s="455"/>
      <c r="I664" s="351"/>
      <c r="J664" s="433"/>
      <c r="K664" s="546"/>
      <c r="L664" s="351"/>
      <c r="M664" s="456"/>
      <c r="N664" s="353"/>
      <c r="O664" s="433"/>
    </row>
    <row r="665">
      <c r="A665" s="433"/>
      <c r="B665" s="456"/>
      <c r="C665" s="433"/>
      <c r="D665" s="433"/>
      <c r="E665" s="545"/>
      <c r="F665" s="353"/>
      <c r="G665" s="456"/>
      <c r="H665" s="455"/>
      <c r="I665" s="351"/>
      <c r="J665" s="433"/>
      <c r="K665" s="546"/>
      <c r="L665" s="351"/>
      <c r="M665" s="456"/>
      <c r="N665" s="353"/>
      <c r="O665" s="433"/>
    </row>
    <row r="666">
      <c r="A666" s="433"/>
      <c r="B666" s="456"/>
      <c r="C666" s="433"/>
      <c r="D666" s="433"/>
      <c r="E666" s="545"/>
      <c r="F666" s="353"/>
      <c r="G666" s="456"/>
      <c r="H666" s="455"/>
      <c r="I666" s="351"/>
      <c r="J666" s="433"/>
      <c r="K666" s="546"/>
      <c r="L666" s="351"/>
      <c r="M666" s="456"/>
      <c r="N666" s="353"/>
      <c r="O666" s="433"/>
    </row>
    <row r="667">
      <c r="A667" s="433"/>
      <c r="B667" s="456"/>
      <c r="C667" s="433"/>
      <c r="D667" s="433"/>
      <c r="E667" s="545"/>
      <c r="F667" s="353"/>
      <c r="G667" s="456"/>
      <c r="H667" s="455"/>
      <c r="I667" s="351"/>
      <c r="J667" s="433"/>
      <c r="K667" s="546"/>
      <c r="L667" s="351"/>
      <c r="M667" s="456"/>
      <c r="N667" s="353"/>
      <c r="O667" s="433"/>
    </row>
    <row r="668">
      <c r="A668" s="433"/>
      <c r="B668" s="456"/>
      <c r="C668" s="433"/>
      <c r="D668" s="433"/>
      <c r="E668" s="545"/>
      <c r="F668" s="353"/>
      <c r="G668" s="456"/>
      <c r="H668" s="455"/>
      <c r="I668" s="351"/>
      <c r="J668" s="433"/>
      <c r="K668" s="546"/>
      <c r="L668" s="351"/>
      <c r="M668" s="456"/>
      <c r="N668" s="353"/>
      <c r="O668" s="433"/>
    </row>
    <row r="669">
      <c r="A669" s="433"/>
      <c r="B669" s="456"/>
      <c r="C669" s="433"/>
      <c r="D669" s="433"/>
      <c r="E669" s="545"/>
      <c r="F669" s="353"/>
      <c r="G669" s="456"/>
      <c r="H669" s="455"/>
      <c r="I669" s="351"/>
      <c r="J669" s="433"/>
      <c r="K669" s="546"/>
      <c r="L669" s="351"/>
      <c r="M669" s="456"/>
      <c r="N669" s="353"/>
      <c r="O669" s="433"/>
    </row>
    <row r="670">
      <c r="A670" s="433"/>
      <c r="B670" s="456"/>
      <c r="C670" s="433"/>
      <c r="D670" s="433"/>
      <c r="E670" s="545"/>
      <c r="F670" s="353"/>
      <c r="G670" s="456"/>
      <c r="H670" s="455"/>
      <c r="I670" s="351"/>
      <c r="J670" s="433"/>
      <c r="K670" s="546"/>
      <c r="L670" s="351"/>
      <c r="M670" s="456"/>
      <c r="N670" s="353"/>
      <c r="O670" s="433"/>
    </row>
    <row r="671">
      <c r="A671" s="433"/>
      <c r="B671" s="456"/>
      <c r="C671" s="433"/>
      <c r="D671" s="433"/>
      <c r="E671" s="545"/>
      <c r="F671" s="353"/>
      <c r="G671" s="456"/>
      <c r="H671" s="455"/>
      <c r="I671" s="351"/>
      <c r="J671" s="433"/>
      <c r="K671" s="546"/>
      <c r="L671" s="351"/>
      <c r="M671" s="456"/>
      <c r="N671" s="353"/>
      <c r="O671" s="433"/>
    </row>
    <row r="672">
      <c r="A672" s="433"/>
      <c r="B672" s="456"/>
      <c r="C672" s="433"/>
      <c r="D672" s="433"/>
      <c r="E672" s="545"/>
      <c r="F672" s="353"/>
      <c r="G672" s="456"/>
      <c r="H672" s="455"/>
      <c r="I672" s="351"/>
      <c r="J672" s="433"/>
      <c r="K672" s="546"/>
      <c r="L672" s="351"/>
      <c r="M672" s="456"/>
      <c r="N672" s="353"/>
      <c r="O672" s="433"/>
    </row>
    <row r="673">
      <c r="A673" s="433"/>
      <c r="B673" s="456"/>
      <c r="C673" s="433"/>
      <c r="D673" s="433"/>
      <c r="E673" s="545"/>
      <c r="F673" s="353"/>
      <c r="G673" s="456"/>
      <c r="H673" s="455"/>
      <c r="I673" s="351"/>
      <c r="J673" s="433"/>
      <c r="K673" s="546"/>
      <c r="L673" s="351"/>
      <c r="M673" s="456"/>
      <c r="N673" s="353"/>
      <c r="O673" s="433"/>
    </row>
    <row r="674">
      <c r="A674" s="433"/>
      <c r="B674" s="456"/>
      <c r="C674" s="433"/>
      <c r="D674" s="433"/>
      <c r="E674" s="545"/>
      <c r="F674" s="353"/>
      <c r="G674" s="456"/>
      <c r="H674" s="455"/>
      <c r="I674" s="351"/>
      <c r="J674" s="433"/>
      <c r="K674" s="546"/>
      <c r="L674" s="351"/>
      <c r="M674" s="456"/>
      <c r="N674" s="353"/>
      <c r="O674" s="433"/>
    </row>
    <row r="675">
      <c r="A675" s="433"/>
      <c r="B675" s="456"/>
      <c r="C675" s="433"/>
      <c r="D675" s="433"/>
      <c r="E675" s="545"/>
      <c r="F675" s="353"/>
      <c r="G675" s="456"/>
      <c r="H675" s="455"/>
      <c r="I675" s="351"/>
      <c r="J675" s="433"/>
      <c r="K675" s="546"/>
      <c r="L675" s="351"/>
      <c r="M675" s="456"/>
      <c r="N675" s="353"/>
      <c r="O675" s="433"/>
    </row>
    <row r="676">
      <c r="A676" s="433"/>
      <c r="B676" s="456"/>
      <c r="C676" s="433"/>
      <c r="D676" s="433"/>
      <c r="E676" s="545"/>
      <c r="F676" s="353"/>
      <c r="G676" s="456"/>
      <c r="H676" s="455"/>
      <c r="I676" s="351"/>
      <c r="J676" s="433"/>
      <c r="K676" s="546"/>
      <c r="L676" s="351"/>
      <c r="M676" s="456"/>
      <c r="N676" s="353"/>
      <c r="O676" s="433"/>
    </row>
    <row r="677">
      <c r="A677" s="433"/>
      <c r="B677" s="456"/>
      <c r="C677" s="433"/>
      <c r="D677" s="433"/>
      <c r="E677" s="545"/>
      <c r="F677" s="353"/>
      <c r="G677" s="456"/>
      <c r="H677" s="455"/>
      <c r="I677" s="351"/>
      <c r="J677" s="433"/>
      <c r="K677" s="546"/>
      <c r="L677" s="351"/>
      <c r="M677" s="456"/>
      <c r="N677" s="353"/>
      <c r="O677" s="433"/>
    </row>
    <row r="678">
      <c r="A678" s="433"/>
      <c r="B678" s="456"/>
      <c r="C678" s="433"/>
      <c r="D678" s="433"/>
      <c r="E678" s="545"/>
      <c r="F678" s="353"/>
      <c r="G678" s="456"/>
      <c r="H678" s="455"/>
      <c r="I678" s="351"/>
      <c r="J678" s="433"/>
      <c r="K678" s="546"/>
      <c r="L678" s="351"/>
      <c r="M678" s="456"/>
      <c r="N678" s="353"/>
      <c r="O678" s="433"/>
    </row>
    <row r="679">
      <c r="A679" s="433"/>
      <c r="B679" s="456"/>
      <c r="C679" s="433"/>
      <c r="D679" s="433"/>
      <c r="E679" s="545"/>
      <c r="F679" s="353"/>
      <c r="G679" s="456"/>
      <c r="H679" s="455"/>
      <c r="I679" s="351"/>
      <c r="J679" s="433"/>
      <c r="K679" s="546"/>
      <c r="L679" s="351"/>
      <c r="M679" s="456"/>
      <c r="N679" s="353"/>
      <c r="O679" s="433"/>
    </row>
    <row r="680">
      <c r="A680" s="433"/>
      <c r="B680" s="456"/>
      <c r="C680" s="433"/>
      <c r="D680" s="433"/>
      <c r="E680" s="545"/>
      <c r="F680" s="353"/>
      <c r="G680" s="456"/>
      <c r="H680" s="455"/>
      <c r="I680" s="351"/>
      <c r="J680" s="433"/>
      <c r="K680" s="546"/>
      <c r="L680" s="351"/>
      <c r="M680" s="456"/>
      <c r="N680" s="353"/>
      <c r="O680" s="433"/>
    </row>
    <row r="681">
      <c r="A681" s="433"/>
      <c r="B681" s="456"/>
      <c r="C681" s="433"/>
      <c r="D681" s="433"/>
      <c r="E681" s="545"/>
      <c r="F681" s="353"/>
      <c r="G681" s="456"/>
      <c r="H681" s="455"/>
      <c r="I681" s="351"/>
      <c r="J681" s="433"/>
      <c r="K681" s="546"/>
      <c r="L681" s="351"/>
      <c r="M681" s="456"/>
      <c r="N681" s="353"/>
      <c r="O681" s="433"/>
    </row>
    <row r="682">
      <c r="A682" s="433"/>
      <c r="B682" s="456"/>
      <c r="C682" s="433"/>
      <c r="D682" s="433"/>
      <c r="E682" s="545"/>
      <c r="F682" s="353"/>
      <c r="G682" s="456"/>
      <c r="H682" s="455"/>
      <c r="I682" s="351"/>
      <c r="J682" s="433"/>
      <c r="K682" s="546"/>
      <c r="L682" s="351"/>
      <c r="M682" s="456"/>
      <c r="N682" s="353"/>
      <c r="O682" s="433"/>
    </row>
    <row r="683">
      <c r="A683" s="433"/>
      <c r="B683" s="456"/>
      <c r="C683" s="433"/>
      <c r="D683" s="433"/>
      <c r="E683" s="545"/>
      <c r="F683" s="353"/>
      <c r="G683" s="456"/>
      <c r="H683" s="455"/>
      <c r="I683" s="351"/>
      <c r="J683" s="433"/>
      <c r="K683" s="546"/>
      <c r="L683" s="351"/>
      <c r="M683" s="456"/>
      <c r="N683" s="353"/>
      <c r="O683" s="433"/>
    </row>
    <row r="684">
      <c r="A684" s="433"/>
      <c r="B684" s="456"/>
      <c r="C684" s="433"/>
      <c r="D684" s="433"/>
      <c r="E684" s="545"/>
      <c r="F684" s="353"/>
      <c r="G684" s="456"/>
      <c r="H684" s="455"/>
      <c r="I684" s="351"/>
      <c r="J684" s="433"/>
      <c r="K684" s="546"/>
      <c r="L684" s="351"/>
      <c r="M684" s="456"/>
      <c r="N684" s="353"/>
      <c r="O684" s="433"/>
    </row>
    <row r="685">
      <c r="A685" s="433"/>
      <c r="B685" s="456"/>
      <c r="C685" s="433"/>
      <c r="D685" s="433"/>
      <c r="E685" s="545"/>
      <c r="F685" s="353"/>
      <c r="G685" s="456"/>
      <c r="H685" s="455"/>
      <c r="I685" s="351"/>
      <c r="J685" s="433"/>
      <c r="K685" s="546"/>
      <c r="L685" s="351"/>
      <c r="M685" s="456"/>
      <c r="N685" s="353"/>
      <c r="O685" s="433"/>
    </row>
    <row r="686">
      <c r="A686" s="433"/>
      <c r="B686" s="456"/>
      <c r="C686" s="433"/>
      <c r="D686" s="433"/>
      <c r="E686" s="545"/>
      <c r="F686" s="353"/>
      <c r="G686" s="456"/>
      <c r="H686" s="455"/>
      <c r="I686" s="351"/>
      <c r="J686" s="433"/>
      <c r="K686" s="546"/>
      <c r="L686" s="351"/>
      <c r="M686" s="456"/>
      <c r="N686" s="353"/>
      <c r="O686" s="433"/>
    </row>
    <row r="687">
      <c r="A687" s="433"/>
      <c r="B687" s="456"/>
      <c r="C687" s="433"/>
      <c r="D687" s="433"/>
      <c r="E687" s="545"/>
      <c r="F687" s="353"/>
      <c r="G687" s="456"/>
      <c r="H687" s="455"/>
      <c r="I687" s="351"/>
      <c r="J687" s="433"/>
      <c r="K687" s="546"/>
      <c r="L687" s="351"/>
      <c r="M687" s="456"/>
      <c r="N687" s="353"/>
      <c r="O687" s="433"/>
    </row>
    <row r="688">
      <c r="A688" s="433"/>
      <c r="B688" s="456"/>
      <c r="C688" s="433"/>
      <c r="D688" s="433"/>
      <c r="E688" s="545"/>
      <c r="F688" s="353"/>
      <c r="G688" s="456"/>
      <c r="H688" s="455"/>
      <c r="I688" s="351"/>
      <c r="J688" s="433"/>
      <c r="K688" s="546"/>
      <c r="L688" s="351"/>
      <c r="M688" s="456"/>
      <c r="N688" s="353"/>
      <c r="O688" s="433"/>
    </row>
    <row r="689">
      <c r="A689" s="433"/>
      <c r="B689" s="456"/>
      <c r="C689" s="433"/>
      <c r="D689" s="433"/>
      <c r="E689" s="545"/>
      <c r="F689" s="353"/>
      <c r="G689" s="456"/>
      <c r="H689" s="455"/>
      <c r="I689" s="351"/>
      <c r="J689" s="433"/>
      <c r="K689" s="546"/>
      <c r="L689" s="351"/>
      <c r="M689" s="456"/>
      <c r="N689" s="353"/>
      <c r="O689" s="433"/>
    </row>
    <row r="690">
      <c r="A690" s="433"/>
      <c r="B690" s="456"/>
      <c r="C690" s="433"/>
      <c r="D690" s="433"/>
      <c r="E690" s="545"/>
      <c r="F690" s="353"/>
      <c r="G690" s="456"/>
      <c r="H690" s="455"/>
      <c r="I690" s="351"/>
      <c r="J690" s="433"/>
      <c r="K690" s="546"/>
      <c r="L690" s="351"/>
      <c r="M690" s="456"/>
      <c r="N690" s="353"/>
      <c r="O690" s="433"/>
    </row>
    <row r="691">
      <c r="A691" s="433"/>
      <c r="B691" s="456"/>
      <c r="C691" s="433"/>
      <c r="D691" s="433"/>
      <c r="E691" s="545"/>
      <c r="F691" s="353"/>
      <c r="G691" s="456"/>
      <c r="H691" s="455"/>
      <c r="I691" s="351"/>
      <c r="J691" s="433"/>
      <c r="K691" s="546"/>
      <c r="L691" s="351"/>
      <c r="M691" s="456"/>
      <c r="N691" s="353"/>
      <c r="O691" s="433"/>
    </row>
    <row r="692">
      <c r="A692" s="433"/>
      <c r="B692" s="456"/>
      <c r="C692" s="433"/>
      <c r="D692" s="433"/>
      <c r="E692" s="545"/>
      <c r="F692" s="353"/>
      <c r="G692" s="456"/>
      <c r="H692" s="455"/>
      <c r="I692" s="351"/>
      <c r="J692" s="433"/>
      <c r="K692" s="546"/>
      <c r="L692" s="351"/>
      <c r="M692" s="456"/>
      <c r="N692" s="353"/>
      <c r="O692" s="433"/>
    </row>
    <row r="693">
      <c r="A693" s="433"/>
      <c r="B693" s="456"/>
      <c r="C693" s="433"/>
      <c r="D693" s="433"/>
      <c r="E693" s="545"/>
      <c r="F693" s="353"/>
      <c r="G693" s="456"/>
      <c r="H693" s="455"/>
      <c r="I693" s="351"/>
      <c r="J693" s="433"/>
      <c r="K693" s="546"/>
      <c r="L693" s="351"/>
      <c r="M693" s="456"/>
      <c r="N693" s="353"/>
      <c r="O693" s="433"/>
    </row>
    <row r="694">
      <c r="A694" s="433"/>
      <c r="B694" s="456"/>
      <c r="C694" s="433"/>
      <c r="D694" s="433"/>
      <c r="E694" s="545"/>
      <c r="F694" s="353"/>
      <c r="G694" s="456"/>
      <c r="H694" s="455"/>
      <c r="I694" s="351"/>
      <c r="J694" s="433"/>
      <c r="K694" s="546"/>
      <c r="L694" s="351"/>
      <c r="M694" s="456"/>
      <c r="N694" s="353"/>
      <c r="O694" s="433"/>
    </row>
    <row r="695">
      <c r="A695" s="433"/>
      <c r="B695" s="456"/>
      <c r="C695" s="433"/>
      <c r="D695" s="433"/>
      <c r="E695" s="545"/>
      <c r="F695" s="353"/>
      <c r="G695" s="456"/>
      <c r="H695" s="455"/>
      <c r="I695" s="351"/>
      <c r="J695" s="433"/>
      <c r="K695" s="546"/>
      <c r="L695" s="351"/>
      <c r="M695" s="456"/>
      <c r="N695" s="353"/>
      <c r="O695" s="433"/>
    </row>
    <row r="696">
      <c r="A696" s="433"/>
      <c r="B696" s="456"/>
      <c r="C696" s="433"/>
      <c r="D696" s="433"/>
      <c r="E696" s="545"/>
      <c r="F696" s="353"/>
      <c r="G696" s="456"/>
      <c r="H696" s="455"/>
      <c r="I696" s="351"/>
      <c r="J696" s="433"/>
      <c r="K696" s="546"/>
      <c r="L696" s="351"/>
      <c r="M696" s="456"/>
      <c r="N696" s="353"/>
      <c r="O696" s="433"/>
    </row>
    <row r="697">
      <c r="A697" s="433"/>
      <c r="B697" s="456"/>
      <c r="C697" s="433"/>
      <c r="D697" s="433"/>
      <c r="E697" s="545"/>
      <c r="F697" s="353"/>
      <c r="G697" s="456"/>
      <c r="H697" s="455"/>
      <c r="I697" s="351"/>
      <c r="J697" s="433"/>
      <c r="K697" s="546"/>
      <c r="L697" s="351"/>
      <c r="M697" s="456"/>
      <c r="N697" s="353"/>
      <c r="O697" s="433"/>
    </row>
    <row r="698">
      <c r="A698" s="433"/>
      <c r="B698" s="456"/>
      <c r="C698" s="433"/>
      <c r="D698" s="433"/>
      <c r="E698" s="545"/>
      <c r="F698" s="353"/>
      <c r="G698" s="456"/>
      <c r="H698" s="455"/>
      <c r="I698" s="351"/>
      <c r="J698" s="433"/>
      <c r="K698" s="546"/>
      <c r="L698" s="351"/>
      <c r="M698" s="456"/>
      <c r="N698" s="353"/>
      <c r="O698" s="433"/>
    </row>
    <row r="699">
      <c r="A699" s="433"/>
      <c r="B699" s="456"/>
      <c r="C699" s="433"/>
      <c r="D699" s="433"/>
      <c r="E699" s="545"/>
      <c r="F699" s="353"/>
      <c r="G699" s="456"/>
      <c r="H699" s="455"/>
      <c r="I699" s="351"/>
      <c r="J699" s="433"/>
      <c r="K699" s="546"/>
      <c r="L699" s="351"/>
      <c r="M699" s="456"/>
      <c r="N699" s="353"/>
      <c r="O699" s="433"/>
    </row>
    <row r="700">
      <c r="A700" s="433"/>
      <c r="B700" s="456"/>
      <c r="C700" s="433"/>
      <c r="D700" s="433"/>
      <c r="E700" s="545"/>
      <c r="F700" s="353"/>
      <c r="G700" s="456"/>
      <c r="H700" s="455"/>
      <c r="I700" s="351"/>
      <c r="J700" s="433"/>
      <c r="K700" s="546"/>
      <c r="L700" s="351"/>
      <c r="M700" s="456"/>
      <c r="N700" s="353"/>
      <c r="O700" s="433"/>
    </row>
    <row r="701">
      <c r="A701" s="433"/>
      <c r="B701" s="456"/>
      <c r="C701" s="433"/>
      <c r="D701" s="433"/>
      <c r="E701" s="545"/>
      <c r="F701" s="353"/>
      <c r="G701" s="456"/>
      <c r="H701" s="455"/>
      <c r="I701" s="351"/>
      <c r="J701" s="433"/>
      <c r="K701" s="546"/>
      <c r="L701" s="351"/>
      <c r="M701" s="456"/>
      <c r="N701" s="353"/>
      <c r="O701" s="433"/>
    </row>
    <row r="702">
      <c r="A702" s="433"/>
      <c r="B702" s="456"/>
      <c r="C702" s="433"/>
      <c r="D702" s="433"/>
      <c r="E702" s="545"/>
      <c r="F702" s="353"/>
      <c r="G702" s="456"/>
      <c r="H702" s="455"/>
      <c r="I702" s="351"/>
      <c r="J702" s="433"/>
      <c r="K702" s="546"/>
      <c r="L702" s="351"/>
      <c r="M702" s="456"/>
      <c r="N702" s="353"/>
      <c r="O702" s="433"/>
    </row>
    <row r="703">
      <c r="A703" s="433"/>
      <c r="B703" s="456"/>
      <c r="C703" s="433"/>
      <c r="D703" s="433"/>
      <c r="E703" s="545"/>
      <c r="F703" s="353"/>
      <c r="G703" s="456"/>
      <c r="H703" s="455"/>
      <c r="I703" s="351"/>
      <c r="J703" s="433"/>
      <c r="K703" s="546"/>
      <c r="L703" s="351"/>
      <c r="M703" s="456"/>
      <c r="N703" s="353"/>
      <c r="O703" s="433"/>
    </row>
    <row r="704">
      <c r="A704" s="433"/>
      <c r="B704" s="456"/>
      <c r="C704" s="433"/>
      <c r="D704" s="433"/>
      <c r="E704" s="545"/>
      <c r="F704" s="353"/>
      <c r="G704" s="456"/>
      <c r="H704" s="455"/>
      <c r="I704" s="351"/>
      <c r="J704" s="433"/>
      <c r="K704" s="546"/>
      <c r="L704" s="351"/>
      <c r="M704" s="456"/>
      <c r="N704" s="353"/>
      <c r="O704" s="433"/>
    </row>
    <row r="705">
      <c r="A705" s="433"/>
      <c r="B705" s="456"/>
      <c r="C705" s="433"/>
      <c r="D705" s="433"/>
      <c r="E705" s="545"/>
      <c r="F705" s="353"/>
      <c r="G705" s="456"/>
      <c r="H705" s="455"/>
      <c r="I705" s="351"/>
      <c r="J705" s="433"/>
      <c r="K705" s="546"/>
      <c r="L705" s="351"/>
      <c r="M705" s="456"/>
      <c r="N705" s="353"/>
      <c r="O705" s="433"/>
    </row>
    <row r="706">
      <c r="A706" s="433"/>
      <c r="B706" s="456"/>
      <c r="C706" s="433"/>
      <c r="D706" s="433"/>
      <c r="E706" s="545"/>
      <c r="F706" s="353"/>
      <c r="G706" s="456"/>
      <c r="H706" s="455"/>
      <c r="I706" s="351"/>
      <c r="J706" s="433"/>
      <c r="K706" s="546"/>
      <c r="L706" s="351"/>
      <c r="M706" s="456"/>
      <c r="N706" s="353"/>
      <c r="O706" s="433"/>
    </row>
    <row r="707">
      <c r="A707" s="433"/>
      <c r="B707" s="456"/>
      <c r="C707" s="433"/>
      <c r="D707" s="433"/>
      <c r="E707" s="545"/>
      <c r="F707" s="353"/>
      <c r="G707" s="456"/>
      <c r="H707" s="455"/>
      <c r="I707" s="351"/>
      <c r="J707" s="433"/>
      <c r="K707" s="546"/>
      <c r="L707" s="351"/>
      <c r="M707" s="456"/>
      <c r="N707" s="353"/>
      <c r="O707" s="433"/>
    </row>
    <row r="708">
      <c r="A708" s="433"/>
      <c r="B708" s="456"/>
      <c r="C708" s="433"/>
      <c r="D708" s="433"/>
      <c r="E708" s="545"/>
      <c r="F708" s="353"/>
      <c r="G708" s="456"/>
      <c r="H708" s="455"/>
      <c r="I708" s="351"/>
      <c r="J708" s="433"/>
      <c r="K708" s="546"/>
      <c r="L708" s="351"/>
      <c r="M708" s="456"/>
      <c r="N708" s="353"/>
      <c r="O708" s="433"/>
    </row>
    <row r="709">
      <c r="A709" s="433"/>
      <c r="B709" s="456"/>
      <c r="C709" s="433"/>
      <c r="D709" s="433"/>
      <c r="E709" s="545"/>
      <c r="F709" s="353"/>
      <c r="G709" s="456"/>
      <c r="H709" s="455"/>
      <c r="I709" s="351"/>
      <c r="J709" s="433"/>
      <c r="K709" s="546"/>
      <c r="L709" s="351"/>
      <c r="M709" s="456"/>
      <c r="N709" s="353"/>
      <c r="O709" s="433"/>
    </row>
    <row r="710">
      <c r="A710" s="433"/>
      <c r="B710" s="456"/>
      <c r="C710" s="433"/>
      <c r="D710" s="433"/>
      <c r="E710" s="545"/>
      <c r="F710" s="353"/>
      <c r="G710" s="456"/>
      <c r="H710" s="455"/>
      <c r="I710" s="351"/>
      <c r="J710" s="433"/>
      <c r="K710" s="546"/>
      <c r="L710" s="351"/>
      <c r="M710" s="456"/>
      <c r="N710" s="353"/>
      <c r="O710" s="433"/>
    </row>
    <row r="711">
      <c r="A711" s="433"/>
      <c r="B711" s="456"/>
      <c r="C711" s="433"/>
      <c r="D711" s="433"/>
      <c r="E711" s="545"/>
      <c r="F711" s="353"/>
      <c r="G711" s="456"/>
      <c r="H711" s="455"/>
      <c r="I711" s="351"/>
      <c r="J711" s="433"/>
      <c r="K711" s="546"/>
      <c r="L711" s="351"/>
      <c r="M711" s="456"/>
      <c r="N711" s="353"/>
      <c r="O711" s="433"/>
    </row>
    <row r="712">
      <c r="A712" s="433"/>
      <c r="B712" s="456"/>
      <c r="C712" s="433"/>
      <c r="D712" s="433"/>
      <c r="E712" s="545"/>
      <c r="F712" s="353"/>
      <c r="G712" s="456"/>
      <c r="H712" s="455"/>
      <c r="I712" s="351"/>
      <c r="J712" s="433"/>
      <c r="K712" s="546"/>
      <c r="L712" s="351"/>
      <c r="M712" s="456"/>
      <c r="N712" s="353"/>
      <c r="O712" s="433"/>
    </row>
    <row r="713">
      <c r="A713" s="433"/>
      <c r="B713" s="456"/>
      <c r="C713" s="433"/>
      <c r="D713" s="433"/>
      <c r="E713" s="545"/>
      <c r="F713" s="353"/>
      <c r="G713" s="456"/>
      <c r="H713" s="455"/>
      <c r="I713" s="351"/>
      <c r="J713" s="433"/>
      <c r="K713" s="546"/>
      <c r="L713" s="351"/>
      <c r="M713" s="456"/>
      <c r="N713" s="353"/>
      <c r="O713" s="433"/>
    </row>
    <row r="714">
      <c r="A714" s="433"/>
      <c r="B714" s="456"/>
      <c r="C714" s="433"/>
      <c r="D714" s="433"/>
      <c r="E714" s="545"/>
      <c r="F714" s="353"/>
      <c r="G714" s="456"/>
      <c r="H714" s="455"/>
      <c r="I714" s="351"/>
      <c r="J714" s="433"/>
      <c r="K714" s="546"/>
      <c r="L714" s="351"/>
      <c r="M714" s="456"/>
      <c r="N714" s="353"/>
      <c r="O714" s="433"/>
    </row>
    <row r="715">
      <c r="A715" s="433"/>
      <c r="B715" s="456"/>
      <c r="C715" s="433"/>
      <c r="D715" s="433"/>
      <c r="E715" s="545"/>
      <c r="F715" s="353"/>
      <c r="G715" s="456"/>
      <c r="H715" s="455"/>
      <c r="I715" s="351"/>
      <c r="J715" s="433"/>
      <c r="K715" s="546"/>
      <c r="L715" s="351"/>
      <c r="M715" s="456"/>
      <c r="N715" s="353"/>
      <c r="O715" s="433"/>
    </row>
    <row r="716">
      <c r="A716" s="433"/>
      <c r="B716" s="456"/>
      <c r="C716" s="433"/>
      <c r="D716" s="433"/>
      <c r="E716" s="545"/>
      <c r="F716" s="353"/>
      <c r="G716" s="456"/>
      <c r="H716" s="455"/>
      <c r="I716" s="351"/>
      <c r="J716" s="433"/>
      <c r="K716" s="546"/>
      <c r="L716" s="351"/>
      <c r="M716" s="456"/>
      <c r="N716" s="353"/>
      <c r="O716" s="433"/>
    </row>
    <row r="717">
      <c r="A717" s="433"/>
      <c r="B717" s="456"/>
      <c r="C717" s="433"/>
      <c r="D717" s="433"/>
      <c r="E717" s="545"/>
      <c r="F717" s="353"/>
      <c r="G717" s="456"/>
      <c r="H717" s="455"/>
      <c r="I717" s="351"/>
      <c r="J717" s="433"/>
      <c r="K717" s="546"/>
      <c r="L717" s="351"/>
      <c r="M717" s="456"/>
      <c r="N717" s="353"/>
      <c r="O717" s="433"/>
    </row>
    <row r="718">
      <c r="A718" s="433"/>
      <c r="B718" s="456"/>
      <c r="C718" s="433"/>
      <c r="D718" s="433"/>
      <c r="E718" s="545"/>
      <c r="F718" s="353"/>
      <c r="G718" s="456"/>
      <c r="H718" s="455"/>
      <c r="I718" s="351"/>
      <c r="J718" s="433"/>
      <c r="K718" s="546"/>
      <c r="L718" s="351"/>
      <c r="M718" s="456"/>
      <c r="N718" s="353"/>
      <c r="O718" s="433"/>
    </row>
    <row r="719">
      <c r="A719" s="433"/>
      <c r="B719" s="456"/>
      <c r="C719" s="433"/>
      <c r="D719" s="433"/>
      <c r="E719" s="545"/>
      <c r="F719" s="353"/>
      <c r="G719" s="456"/>
      <c r="H719" s="455"/>
      <c r="I719" s="351"/>
      <c r="J719" s="433"/>
      <c r="K719" s="546"/>
      <c r="L719" s="351"/>
      <c r="M719" s="456"/>
      <c r="N719" s="353"/>
      <c r="O719" s="433"/>
    </row>
    <row r="720">
      <c r="A720" s="433"/>
      <c r="B720" s="456"/>
      <c r="C720" s="433"/>
      <c r="D720" s="433"/>
      <c r="E720" s="545"/>
      <c r="F720" s="353"/>
      <c r="G720" s="456"/>
      <c r="H720" s="455"/>
      <c r="I720" s="351"/>
      <c r="J720" s="433"/>
      <c r="K720" s="546"/>
      <c r="L720" s="351"/>
      <c r="M720" s="456"/>
      <c r="N720" s="353"/>
      <c r="O720" s="433"/>
    </row>
    <row r="721">
      <c r="A721" s="433"/>
      <c r="B721" s="456"/>
      <c r="C721" s="433"/>
      <c r="D721" s="433"/>
      <c r="E721" s="545"/>
      <c r="F721" s="353"/>
      <c r="G721" s="456"/>
      <c r="H721" s="455"/>
      <c r="I721" s="351"/>
      <c r="J721" s="433"/>
      <c r="K721" s="546"/>
      <c r="L721" s="351"/>
      <c r="M721" s="456"/>
      <c r="N721" s="353"/>
      <c r="O721" s="433"/>
    </row>
    <row r="722">
      <c r="A722" s="433"/>
      <c r="B722" s="456"/>
      <c r="C722" s="433"/>
      <c r="D722" s="433"/>
      <c r="E722" s="545"/>
      <c r="F722" s="353"/>
      <c r="G722" s="456"/>
      <c r="H722" s="455"/>
      <c r="I722" s="351"/>
      <c r="J722" s="433"/>
      <c r="K722" s="546"/>
      <c r="L722" s="351"/>
      <c r="M722" s="456"/>
      <c r="N722" s="353"/>
      <c r="O722" s="433"/>
    </row>
    <row r="723">
      <c r="A723" s="433"/>
      <c r="B723" s="456"/>
      <c r="C723" s="433"/>
      <c r="D723" s="433"/>
      <c r="E723" s="545"/>
      <c r="F723" s="353"/>
      <c r="G723" s="456"/>
      <c r="H723" s="455"/>
      <c r="I723" s="351"/>
      <c r="J723" s="433"/>
      <c r="K723" s="546"/>
      <c r="L723" s="351"/>
      <c r="M723" s="456"/>
      <c r="N723" s="353"/>
      <c r="O723" s="433"/>
    </row>
    <row r="724">
      <c r="A724" s="433"/>
      <c r="B724" s="456"/>
      <c r="C724" s="433"/>
      <c r="D724" s="433"/>
      <c r="E724" s="545"/>
      <c r="F724" s="353"/>
      <c r="G724" s="456"/>
      <c r="H724" s="455"/>
      <c r="I724" s="351"/>
      <c r="J724" s="433"/>
      <c r="K724" s="546"/>
      <c r="L724" s="351"/>
      <c r="M724" s="456"/>
      <c r="N724" s="353"/>
      <c r="O724" s="433"/>
    </row>
    <row r="725">
      <c r="A725" s="433"/>
      <c r="B725" s="456"/>
      <c r="C725" s="433"/>
      <c r="D725" s="433"/>
      <c r="E725" s="545"/>
      <c r="F725" s="353"/>
      <c r="G725" s="456"/>
      <c r="H725" s="455"/>
      <c r="I725" s="351"/>
      <c r="J725" s="433"/>
      <c r="K725" s="546"/>
      <c r="L725" s="351"/>
      <c r="M725" s="456"/>
      <c r="N725" s="353"/>
      <c r="O725" s="433"/>
    </row>
    <row r="726">
      <c r="A726" s="433"/>
      <c r="B726" s="456"/>
      <c r="C726" s="433"/>
      <c r="D726" s="433"/>
      <c r="E726" s="545"/>
      <c r="F726" s="353"/>
      <c r="G726" s="456"/>
      <c r="H726" s="455"/>
      <c r="I726" s="351"/>
      <c r="J726" s="433"/>
      <c r="K726" s="546"/>
      <c r="L726" s="351"/>
      <c r="M726" s="456"/>
      <c r="N726" s="353"/>
      <c r="O726" s="433"/>
    </row>
    <row r="727">
      <c r="A727" s="433"/>
      <c r="B727" s="456"/>
      <c r="C727" s="433"/>
      <c r="D727" s="433"/>
      <c r="E727" s="545"/>
      <c r="F727" s="353"/>
      <c r="G727" s="456"/>
      <c r="H727" s="455"/>
      <c r="I727" s="351"/>
      <c r="J727" s="433"/>
      <c r="K727" s="546"/>
      <c r="L727" s="351"/>
      <c r="M727" s="456"/>
      <c r="N727" s="353"/>
      <c r="O727" s="433"/>
    </row>
    <row r="728">
      <c r="A728" s="433"/>
      <c r="B728" s="456"/>
      <c r="C728" s="433"/>
      <c r="D728" s="433"/>
      <c r="E728" s="545"/>
      <c r="F728" s="353"/>
      <c r="G728" s="456"/>
      <c r="H728" s="455"/>
      <c r="I728" s="351"/>
      <c r="J728" s="433"/>
      <c r="K728" s="546"/>
      <c r="L728" s="351"/>
      <c r="M728" s="456"/>
      <c r="N728" s="353"/>
      <c r="O728" s="433"/>
    </row>
    <row r="729">
      <c r="A729" s="433"/>
      <c r="B729" s="456"/>
      <c r="C729" s="433"/>
      <c r="D729" s="433"/>
      <c r="E729" s="545"/>
      <c r="F729" s="353"/>
      <c r="G729" s="456"/>
      <c r="H729" s="455"/>
      <c r="I729" s="351"/>
      <c r="J729" s="433"/>
      <c r="K729" s="546"/>
      <c r="L729" s="351"/>
      <c r="M729" s="456"/>
      <c r="N729" s="353"/>
      <c r="O729" s="433"/>
    </row>
    <row r="730">
      <c r="A730" s="433"/>
      <c r="B730" s="456"/>
      <c r="C730" s="433"/>
      <c r="D730" s="433"/>
      <c r="E730" s="545"/>
      <c r="F730" s="353"/>
      <c r="G730" s="456"/>
      <c r="H730" s="455"/>
      <c r="I730" s="351"/>
      <c r="J730" s="433"/>
      <c r="K730" s="546"/>
      <c r="L730" s="351"/>
      <c r="M730" s="456"/>
      <c r="N730" s="353"/>
      <c r="O730" s="433"/>
    </row>
    <row r="731">
      <c r="A731" s="433"/>
      <c r="B731" s="456"/>
      <c r="C731" s="433"/>
      <c r="D731" s="433"/>
      <c r="E731" s="545"/>
      <c r="F731" s="353"/>
      <c r="G731" s="456"/>
      <c r="H731" s="455"/>
      <c r="I731" s="351"/>
      <c r="J731" s="433"/>
      <c r="K731" s="546"/>
      <c r="L731" s="351"/>
      <c r="M731" s="456"/>
      <c r="N731" s="353"/>
      <c r="O731" s="433"/>
    </row>
    <row r="732">
      <c r="A732" s="433"/>
      <c r="B732" s="456"/>
      <c r="C732" s="433"/>
      <c r="D732" s="433"/>
      <c r="E732" s="545"/>
      <c r="F732" s="353"/>
      <c r="G732" s="456"/>
      <c r="H732" s="455"/>
      <c r="I732" s="351"/>
      <c r="J732" s="433"/>
      <c r="K732" s="546"/>
      <c r="L732" s="351"/>
      <c r="M732" s="456"/>
      <c r="N732" s="353"/>
      <c r="O732" s="433"/>
    </row>
    <row r="733">
      <c r="A733" s="433"/>
      <c r="B733" s="456"/>
      <c r="C733" s="433"/>
      <c r="D733" s="433"/>
      <c r="E733" s="545"/>
      <c r="F733" s="353"/>
      <c r="G733" s="456"/>
      <c r="H733" s="455"/>
      <c r="I733" s="351"/>
      <c r="J733" s="433"/>
      <c r="K733" s="546"/>
      <c r="L733" s="351"/>
      <c r="M733" s="456"/>
      <c r="N733" s="353"/>
      <c r="O733" s="433"/>
    </row>
    <row r="734">
      <c r="A734" s="433"/>
      <c r="B734" s="456"/>
      <c r="C734" s="433"/>
      <c r="D734" s="433"/>
      <c r="E734" s="545"/>
      <c r="F734" s="353"/>
      <c r="G734" s="456"/>
      <c r="H734" s="455"/>
      <c r="I734" s="351"/>
      <c r="J734" s="433"/>
      <c r="K734" s="546"/>
      <c r="L734" s="351"/>
      <c r="M734" s="456"/>
      <c r="N734" s="353"/>
      <c r="O734" s="433"/>
    </row>
    <row r="735">
      <c r="A735" s="433"/>
      <c r="B735" s="456"/>
      <c r="C735" s="433"/>
      <c r="D735" s="433"/>
      <c r="E735" s="545"/>
      <c r="F735" s="353"/>
      <c r="G735" s="456"/>
      <c r="H735" s="455"/>
      <c r="I735" s="351"/>
      <c r="J735" s="433"/>
      <c r="K735" s="546"/>
      <c r="L735" s="351"/>
      <c r="M735" s="456"/>
      <c r="N735" s="353"/>
      <c r="O735" s="433"/>
    </row>
    <row r="736">
      <c r="A736" s="433"/>
      <c r="B736" s="456"/>
      <c r="C736" s="433"/>
      <c r="D736" s="433"/>
      <c r="E736" s="545"/>
      <c r="F736" s="353"/>
      <c r="G736" s="456"/>
      <c r="H736" s="455"/>
      <c r="I736" s="351"/>
      <c r="J736" s="433"/>
      <c r="K736" s="546"/>
      <c r="L736" s="351"/>
      <c r="M736" s="456"/>
      <c r="N736" s="353"/>
      <c r="O736" s="433"/>
    </row>
    <row r="737">
      <c r="A737" s="433"/>
      <c r="B737" s="456"/>
      <c r="C737" s="433"/>
      <c r="D737" s="433"/>
      <c r="E737" s="545"/>
      <c r="F737" s="353"/>
      <c r="G737" s="456"/>
      <c r="H737" s="455"/>
      <c r="I737" s="351"/>
      <c r="J737" s="433"/>
      <c r="K737" s="546"/>
      <c r="L737" s="351"/>
      <c r="M737" s="456"/>
      <c r="N737" s="353"/>
      <c r="O737" s="433"/>
    </row>
    <row r="738">
      <c r="A738" s="433"/>
      <c r="B738" s="456"/>
      <c r="C738" s="433"/>
      <c r="D738" s="433"/>
      <c r="E738" s="545"/>
      <c r="F738" s="353"/>
      <c r="G738" s="456"/>
      <c r="H738" s="455"/>
      <c r="I738" s="351"/>
      <c r="J738" s="433"/>
      <c r="K738" s="546"/>
      <c r="L738" s="351"/>
      <c r="M738" s="456"/>
      <c r="N738" s="353"/>
      <c r="O738" s="433"/>
    </row>
    <row r="739">
      <c r="A739" s="433"/>
      <c r="B739" s="456"/>
      <c r="C739" s="433"/>
      <c r="D739" s="433"/>
      <c r="E739" s="545"/>
      <c r="F739" s="353"/>
      <c r="G739" s="456"/>
      <c r="H739" s="455"/>
      <c r="I739" s="351"/>
      <c r="J739" s="433"/>
      <c r="K739" s="546"/>
      <c r="L739" s="351"/>
      <c r="M739" s="456"/>
      <c r="N739" s="353"/>
      <c r="O739" s="433"/>
    </row>
    <row r="740">
      <c r="A740" s="433"/>
      <c r="B740" s="456"/>
      <c r="C740" s="433"/>
      <c r="D740" s="433"/>
      <c r="E740" s="545"/>
      <c r="F740" s="353"/>
      <c r="G740" s="456"/>
      <c r="H740" s="455"/>
      <c r="I740" s="351"/>
      <c r="J740" s="433"/>
      <c r="K740" s="546"/>
      <c r="L740" s="351"/>
      <c r="M740" s="456"/>
      <c r="N740" s="353"/>
      <c r="O740" s="433"/>
    </row>
    <row r="741">
      <c r="A741" s="433"/>
      <c r="B741" s="456"/>
      <c r="C741" s="433"/>
      <c r="D741" s="433"/>
      <c r="E741" s="545"/>
      <c r="F741" s="353"/>
      <c r="G741" s="456"/>
      <c r="H741" s="455"/>
      <c r="I741" s="351"/>
      <c r="J741" s="433"/>
      <c r="K741" s="546"/>
      <c r="L741" s="351"/>
      <c r="M741" s="456"/>
      <c r="N741" s="353"/>
      <c r="O741" s="433"/>
    </row>
    <row r="742">
      <c r="A742" s="433"/>
      <c r="B742" s="456"/>
      <c r="C742" s="433"/>
      <c r="D742" s="433"/>
      <c r="E742" s="545"/>
      <c r="F742" s="353"/>
      <c r="G742" s="456"/>
      <c r="H742" s="455"/>
      <c r="I742" s="351"/>
      <c r="J742" s="433"/>
      <c r="K742" s="546"/>
      <c r="L742" s="351"/>
      <c r="M742" s="456"/>
      <c r="N742" s="353"/>
      <c r="O742" s="433"/>
    </row>
    <row r="743">
      <c r="A743" s="433"/>
      <c r="B743" s="456"/>
      <c r="C743" s="433"/>
      <c r="D743" s="433"/>
      <c r="E743" s="545"/>
      <c r="F743" s="353"/>
      <c r="G743" s="456"/>
      <c r="H743" s="455"/>
      <c r="I743" s="351"/>
      <c r="J743" s="433"/>
      <c r="K743" s="546"/>
      <c r="L743" s="351"/>
      <c r="M743" s="456"/>
      <c r="N743" s="353"/>
      <c r="O743" s="433"/>
    </row>
    <row r="744">
      <c r="A744" s="433"/>
      <c r="B744" s="456"/>
      <c r="C744" s="433"/>
      <c r="D744" s="433"/>
      <c r="E744" s="545"/>
      <c r="F744" s="353"/>
      <c r="G744" s="456"/>
      <c r="H744" s="455"/>
      <c r="I744" s="351"/>
      <c r="J744" s="433"/>
      <c r="K744" s="546"/>
      <c r="L744" s="351"/>
      <c r="M744" s="456"/>
      <c r="N744" s="353"/>
      <c r="O744" s="433"/>
    </row>
    <row r="745">
      <c r="A745" s="433"/>
      <c r="B745" s="456"/>
      <c r="C745" s="433"/>
      <c r="D745" s="433"/>
      <c r="E745" s="545"/>
      <c r="F745" s="353"/>
      <c r="G745" s="456"/>
      <c r="H745" s="455"/>
      <c r="I745" s="351"/>
      <c r="J745" s="433"/>
      <c r="K745" s="546"/>
      <c r="L745" s="351"/>
      <c r="M745" s="456"/>
      <c r="N745" s="353"/>
      <c r="O745" s="433"/>
    </row>
    <row r="746">
      <c r="A746" s="433"/>
      <c r="B746" s="456"/>
      <c r="C746" s="433"/>
      <c r="D746" s="433"/>
      <c r="E746" s="545"/>
      <c r="F746" s="353"/>
      <c r="G746" s="456"/>
      <c r="H746" s="455"/>
      <c r="I746" s="351"/>
      <c r="J746" s="433"/>
      <c r="K746" s="546"/>
      <c r="L746" s="351"/>
      <c r="M746" s="456"/>
      <c r="N746" s="353"/>
      <c r="O746" s="433"/>
    </row>
    <row r="747">
      <c r="A747" s="433"/>
      <c r="B747" s="456"/>
      <c r="C747" s="433"/>
      <c r="D747" s="433"/>
      <c r="E747" s="545"/>
      <c r="F747" s="353"/>
      <c r="G747" s="456"/>
      <c r="H747" s="455"/>
      <c r="I747" s="351"/>
      <c r="J747" s="433"/>
      <c r="K747" s="546"/>
      <c r="L747" s="351"/>
      <c r="M747" s="456"/>
      <c r="N747" s="353"/>
      <c r="O747" s="433"/>
    </row>
    <row r="748">
      <c r="A748" s="433"/>
      <c r="B748" s="456"/>
      <c r="C748" s="433"/>
      <c r="D748" s="433"/>
      <c r="E748" s="545"/>
      <c r="F748" s="353"/>
      <c r="G748" s="456"/>
      <c r="H748" s="455"/>
      <c r="I748" s="351"/>
      <c r="J748" s="433"/>
      <c r="K748" s="546"/>
      <c r="L748" s="351"/>
      <c r="M748" s="456"/>
      <c r="N748" s="353"/>
      <c r="O748" s="433"/>
    </row>
    <row r="749">
      <c r="A749" s="433"/>
      <c r="B749" s="456"/>
      <c r="C749" s="433"/>
      <c r="D749" s="433"/>
      <c r="E749" s="545"/>
      <c r="F749" s="353"/>
      <c r="G749" s="456"/>
      <c r="H749" s="455"/>
      <c r="I749" s="351"/>
      <c r="J749" s="433"/>
      <c r="K749" s="546"/>
      <c r="L749" s="351"/>
      <c r="M749" s="456"/>
      <c r="N749" s="353"/>
      <c r="O749" s="433"/>
    </row>
    <row r="750">
      <c r="A750" s="433"/>
      <c r="B750" s="456"/>
      <c r="C750" s="433"/>
      <c r="D750" s="433"/>
      <c r="E750" s="545"/>
      <c r="F750" s="353"/>
      <c r="G750" s="456"/>
      <c r="H750" s="455"/>
      <c r="I750" s="351"/>
      <c r="J750" s="433"/>
      <c r="K750" s="546"/>
      <c r="L750" s="351"/>
      <c r="M750" s="456"/>
      <c r="N750" s="353"/>
      <c r="O750" s="433"/>
    </row>
    <row r="751">
      <c r="A751" s="433"/>
      <c r="B751" s="456"/>
      <c r="C751" s="433"/>
      <c r="D751" s="433"/>
      <c r="E751" s="545"/>
      <c r="F751" s="353"/>
      <c r="G751" s="456"/>
      <c r="H751" s="455"/>
      <c r="I751" s="351"/>
      <c r="J751" s="433"/>
      <c r="K751" s="546"/>
      <c r="L751" s="351"/>
      <c r="M751" s="456"/>
      <c r="N751" s="353"/>
      <c r="O751" s="433"/>
    </row>
    <row r="752">
      <c r="A752" s="433"/>
      <c r="B752" s="456"/>
      <c r="C752" s="433"/>
      <c r="D752" s="433"/>
      <c r="E752" s="545"/>
      <c r="F752" s="353"/>
      <c r="G752" s="456"/>
      <c r="H752" s="455"/>
      <c r="I752" s="351"/>
      <c r="J752" s="433"/>
      <c r="K752" s="546"/>
      <c r="L752" s="351"/>
      <c r="M752" s="456"/>
      <c r="N752" s="353"/>
      <c r="O752" s="433"/>
    </row>
    <row r="753">
      <c r="A753" s="433"/>
      <c r="B753" s="456"/>
      <c r="C753" s="433"/>
      <c r="D753" s="433"/>
      <c r="E753" s="545"/>
      <c r="F753" s="353"/>
      <c r="G753" s="456"/>
      <c r="H753" s="455"/>
      <c r="I753" s="351"/>
      <c r="J753" s="433"/>
      <c r="K753" s="546"/>
      <c r="L753" s="351"/>
      <c r="M753" s="456"/>
      <c r="N753" s="353"/>
      <c r="O753" s="433"/>
    </row>
    <row r="754">
      <c r="A754" s="433"/>
      <c r="B754" s="456"/>
      <c r="C754" s="433"/>
      <c r="D754" s="433"/>
      <c r="E754" s="545"/>
      <c r="F754" s="353"/>
      <c r="G754" s="456"/>
      <c r="H754" s="455"/>
      <c r="I754" s="351"/>
      <c r="J754" s="433"/>
      <c r="K754" s="546"/>
      <c r="L754" s="351"/>
      <c r="M754" s="456"/>
      <c r="N754" s="353"/>
      <c r="O754" s="433"/>
    </row>
    <row r="755">
      <c r="A755" s="433"/>
      <c r="B755" s="456"/>
      <c r="C755" s="433"/>
      <c r="D755" s="433"/>
      <c r="E755" s="545"/>
      <c r="F755" s="353"/>
      <c r="G755" s="456"/>
      <c r="H755" s="455"/>
      <c r="I755" s="351"/>
      <c r="J755" s="433"/>
      <c r="K755" s="546"/>
      <c r="L755" s="351"/>
      <c r="M755" s="456"/>
      <c r="N755" s="353"/>
      <c r="O755" s="433"/>
    </row>
    <row r="756">
      <c r="A756" s="433"/>
      <c r="B756" s="456"/>
      <c r="C756" s="433"/>
      <c r="D756" s="433"/>
      <c r="E756" s="545"/>
      <c r="F756" s="353"/>
      <c r="G756" s="456"/>
      <c r="H756" s="455"/>
      <c r="I756" s="351"/>
      <c r="J756" s="433"/>
      <c r="K756" s="546"/>
      <c r="L756" s="351"/>
      <c r="M756" s="456"/>
      <c r="N756" s="353"/>
      <c r="O756" s="433"/>
    </row>
    <row r="757">
      <c r="A757" s="433"/>
      <c r="B757" s="456"/>
      <c r="C757" s="433"/>
      <c r="D757" s="433"/>
      <c r="E757" s="545"/>
      <c r="F757" s="353"/>
      <c r="G757" s="456"/>
      <c r="H757" s="455"/>
      <c r="I757" s="351"/>
      <c r="J757" s="433"/>
      <c r="K757" s="546"/>
      <c r="L757" s="351"/>
      <c r="M757" s="456"/>
      <c r="N757" s="353"/>
      <c r="O757" s="433"/>
    </row>
    <row r="758">
      <c r="A758" s="433"/>
      <c r="B758" s="456"/>
      <c r="C758" s="433"/>
      <c r="D758" s="433"/>
      <c r="E758" s="545"/>
      <c r="F758" s="353"/>
      <c r="G758" s="456"/>
      <c r="H758" s="455"/>
      <c r="I758" s="351"/>
      <c r="J758" s="433"/>
      <c r="K758" s="546"/>
      <c r="L758" s="351"/>
      <c r="M758" s="456"/>
      <c r="N758" s="353"/>
      <c r="O758" s="433"/>
    </row>
    <row r="759">
      <c r="A759" s="433"/>
      <c r="B759" s="456"/>
      <c r="C759" s="433"/>
      <c r="D759" s="433"/>
      <c r="E759" s="545"/>
      <c r="F759" s="353"/>
      <c r="G759" s="456"/>
      <c r="H759" s="455"/>
      <c r="I759" s="351"/>
      <c r="J759" s="433"/>
      <c r="K759" s="546"/>
      <c r="L759" s="351"/>
      <c r="M759" s="456"/>
      <c r="N759" s="353"/>
      <c r="O759" s="433"/>
    </row>
    <row r="760">
      <c r="A760" s="433"/>
      <c r="B760" s="456"/>
      <c r="C760" s="433"/>
      <c r="D760" s="433"/>
      <c r="E760" s="545"/>
      <c r="F760" s="353"/>
      <c r="G760" s="456"/>
      <c r="H760" s="455"/>
      <c r="I760" s="351"/>
      <c r="J760" s="433"/>
      <c r="K760" s="546"/>
      <c r="L760" s="351"/>
      <c r="M760" s="456"/>
      <c r="N760" s="353"/>
      <c r="O760" s="433"/>
    </row>
    <row r="761">
      <c r="A761" s="433"/>
      <c r="B761" s="456"/>
      <c r="C761" s="433"/>
      <c r="D761" s="433"/>
      <c r="E761" s="545"/>
      <c r="F761" s="353"/>
      <c r="G761" s="456"/>
      <c r="H761" s="455"/>
      <c r="I761" s="351"/>
      <c r="J761" s="433"/>
      <c r="K761" s="546"/>
      <c r="L761" s="351"/>
      <c r="M761" s="456"/>
      <c r="N761" s="353"/>
      <c r="O761" s="433"/>
    </row>
    <row r="762">
      <c r="A762" s="433"/>
      <c r="B762" s="456"/>
      <c r="C762" s="433"/>
      <c r="D762" s="433"/>
      <c r="E762" s="545"/>
      <c r="F762" s="353"/>
      <c r="G762" s="456"/>
      <c r="H762" s="455"/>
      <c r="I762" s="351"/>
      <c r="J762" s="433"/>
      <c r="K762" s="546"/>
      <c r="L762" s="351"/>
      <c r="M762" s="456"/>
      <c r="N762" s="353"/>
      <c r="O762" s="433"/>
    </row>
    <row r="763">
      <c r="A763" s="433"/>
      <c r="B763" s="456"/>
      <c r="C763" s="433"/>
      <c r="D763" s="433"/>
      <c r="E763" s="545"/>
      <c r="F763" s="353"/>
      <c r="G763" s="456"/>
      <c r="H763" s="455"/>
      <c r="I763" s="351"/>
      <c r="J763" s="433"/>
      <c r="K763" s="546"/>
      <c r="L763" s="351"/>
      <c r="M763" s="456"/>
      <c r="N763" s="353"/>
      <c r="O763" s="433"/>
    </row>
    <row r="764">
      <c r="A764" s="433"/>
      <c r="B764" s="456"/>
      <c r="C764" s="433"/>
      <c r="D764" s="433"/>
      <c r="E764" s="545"/>
      <c r="F764" s="353"/>
      <c r="G764" s="456"/>
      <c r="H764" s="455"/>
      <c r="I764" s="351"/>
      <c r="J764" s="433"/>
      <c r="K764" s="546"/>
      <c r="L764" s="351"/>
      <c r="M764" s="456"/>
      <c r="N764" s="353"/>
      <c r="O764" s="433"/>
    </row>
    <row r="765">
      <c r="A765" s="433"/>
      <c r="B765" s="456"/>
      <c r="C765" s="433"/>
      <c r="D765" s="433"/>
      <c r="E765" s="545"/>
      <c r="F765" s="353"/>
      <c r="G765" s="456"/>
      <c r="H765" s="455"/>
      <c r="I765" s="351"/>
      <c r="J765" s="433"/>
      <c r="K765" s="546"/>
      <c r="L765" s="351"/>
      <c r="M765" s="456"/>
      <c r="N765" s="353"/>
      <c r="O765" s="433"/>
    </row>
    <row r="766">
      <c r="A766" s="433"/>
      <c r="B766" s="456"/>
      <c r="C766" s="433"/>
      <c r="D766" s="433"/>
      <c r="E766" s="545"/>
      <c r="F766" s="353"/>
      <c r="G766" s="456"/>
      <c r="H766" s="455"/>
      <c r="I766" s="351"/>
      <c r="J766" s="433"/>
      <c r="K766" s="546"/>
      <c r="L766" s="351"/>
      <c r="M766" s="456"/>
      <c r="N766" s="353"/>
      <c r="O766" s="433"/>
    </row>
    <row r="767">
      <c r="A767" s="433"/>
      <c r="B767" s="456"/>
      <c r="C767" s="433"/>
      <c r="D767" s="433"/>
      <c r="E767" s="545"/>
      <c r="F767" s="353"/>
      <c r="G767" s="456"/>
      <c r="H767" s="455"/>
      <c r="I767" s="351"/>
      <c r="J767" s="433"/>
      <c r="K767" s="546"/>
      <c r="L767" s="351"/>
      <c r="M767" s="456"/>
      <c r="N767" s="353"/>
      <c r="O767" s="433"/>
    </row>
    <row r="768">
      <c r="A768" s="433"/>
      <c r="B768" s="456"/>
      <c r="C768" s="433"/>
      <c r="D768" s="433"/>
      <c r="E768" s="545"/>
      <c r="F768" s="353"/>
      <c r="G768" s="456"/>
      <c r="H768" s="455"/>
      <c r="I768" s="351"/>
      <c r="J768" s="433"/>
      <c r="K768" s="546"/>
      <c r="L768" s="351"/>
      <c r="M768" s="456"/>
      <c r="N768" s="353"/>
      <c r="O768" s="433"/>
    </row>
    <row r="769">
      <c r="A769" s="433"/>
      <c r="B769" s="456"/>
      <c r="C769" s="433"/>
      <c r="D769" s="433"/>
      <c r="E769" s="545"/>
      <c r="F769" s="353"/>
      <c r="G769" s="456"/>
      <c r="H769" s="455"/>
      <c r="I769" s="351"/>
      <c r="J769" s="433"/>
      <c r="K769" s="546"/>
      <c r="L769" s="351"/>
      <c r="M769" s="456"/>
      <c r="N769" s="353"/>
      <c r="O769" s="433"/>
    </row>
    <row r="770">
      <c r="A770" s="433"/>
      <c r="B770" s="456"/>
      <c r="C770" s="433"/>
      <c r="D770" s="433"/>
      <c r="E770" s="545"/>
      <c r="F770" s="353"/>
      <c r="G770" s="456"/>
      <c r="H770" s="455"/>
      <c r="I770" s="351"/>
      <c r="J770" s="433"/>
      <c r="K770" s="546"/>
      <c r="L770" s="351"/>
      <c r="M770" s="456"/>
      <c r="N770" s="353"/>
      <c r="O770" s="433"/>
    </row>
    <row r="771">
      <c r="A771" s="433"/>
      <c r="B771" s="456"/>
      <c r="C771" s="433"/>
      <c r="D771" s="433"/>
      <c r="E771" s="545"/>
      <c r="F771" s="353"/>
      <c r="G771" s="456"/>
      <c r="H771" s="455"/>
      <c r="I771" s="351"/>
      <c r="J771" s="433"/>
      <c r="K771" s="546"/>
      <c r="L771" s="351"/>
      <c r="M771" s="456"/>
      <c r="N771" s="353"/>
      <c r="O771" s="433"/>
    </row>
    <row r="772">
      <c r="A772" s="433"/>
      <c r="B772" s="456"/>
      <c r="C772" s="433"/>
      <c r="D772" s="433"/>
      <c r="E772" s="545"/>
      <c r="F772" s="353"/>
      <c r="G772" s="456"/>
      <c r="H772" s="455"/>
      <c r="I772" s="351"/>
      <c r="J772" s="433"/>
      <c r="K772" s="546"/>
      <c r="L772" s="351"/>
      <c r="M772" s="456"/>
      <c r="N772" s="353"/>
      <c r="O772" s="433"/>
    </row>
    <row r="773">
      <c r="A773" s="433"/>
      <c r="B773" s="456"/>
      <c r="C773" s="433"/>
      <c r="D773" s="433"/>
      <c r="E773" s="545"/>
      <c r="F773" s="353"/>
      <c r="G773" s="456"/>
      <c r="H773" s="455"/>
      <c r="I773" s="351"/>
      <c r="J773" s="433"/>
      <c r="K773" s="546"/>
      <c r="L773" s="351"/>
      <c r="M773" s="456"/>
      <c r="N773" s="353"/>
      <c r="O773" s="433"/>
    </row>
    <row r="774">
      <c r="A774" s="433"/>
      <c r="B774" s="456"/>
      <c r="C774" s="433"/>
      <c r="D774" s="433"/>
      <c r="E774" s="545"/>
      <c r="F774" s="353"/>
      <c r="G774" s="456"/>
      <c r="H774" s="455"/>
      <c r="I774" s="351"/>
      <c r="J774" s="433"/>
      <c r="K774" s="546"/>
      <c r="L774" s="351"/>
      <c r="M774" s="456"/>
      <c r="N774" s="353"/>
      <c r="O774" s="433"/>
    </row>
    <row r="775">
      <c r="A775" s="433"/>
      <c r="B775" s="456"/>
      <c r="C775" s="433"/>
      <c r="D775" s="433"/>
      <c r="E775" s="545"/>
      <c r="F775" s="353"/>
      <c r="G775" s="456"/>
      <c r="H775" s="455"/>
      <c r="I775" s="351"/>
      <c r="J775" s="433"/>
      <c r="K775" s="546"/>
      <c r="L775" s="351"/>
      <c r="M775" s="456"/>
      <c r="N775" s="353"/>
      <c r="O775" s="433"/>
    </row>
    <row r="776">
      <c r="A776" s="433"/>
      <c r="B776" s="456"/>
      <c r="C776" s="433"/>
      <c r="D776" s="433"/>
      <c r="E776" s="545"/>
      <c r="F776" s="353"/>
      <c r="G776" s="456"/>
      <c r="H776" s="455"/>
      <c r="I776" s="351"/>
      <c r="J776" s="433"/>
      <c r="K776" s="546"/>
      <c r="L776" s="351"/>
      <c r="M776" s="456"/>
      <c r="N776" s="353"/>
      <c r="O776" s="433"/>
    </row>
    <row r="777">
      <c r="A777" s="433"/>
      <c r="B777" s="456"/>
      <c r="C777" s="433"/>
      <c r="D777" s="433"/>
      <c r="E777" s="545"/>
      <c r="F777" s="353"/>
      <c r="G777" s="456"/>
      <c r="H777" s="455"/>
      <c r="I777" s="351"/>
      <c r="J777" s="433"/>
      <c r="K777" s="546"/>
      <c r="L777" s="351"/>
      <c r="M777" s="456"/>
      <c r="N777" s="353"/>
      <c r="O777" s="433"/>
    </row>
    <row r="778">
      <c r="A778" s="433"/>
      <c r="B778" s="456"/>
      <c r="C778" s="433"/>
      <c r="D778" s="433"/>
      <c r="E778" s="545"/>
      <c r="F778" s="353"/>
      <c r="G778" s="456"/>
      <c r="H778" s="455"/>
      <c r="I778" s="351"/>
      <c r="J778" s="433"/>
      <c r="K778" s="546"/>
      <c r="L778" s="351"/>
      <c r="M778" s="456"/>
      <c r="N778" s="353"/>
      <c r="O778" s="433"/>
    </row>
    <row r="779">
      <c r="A779" s="433"/>
      <c r="B779" s="456"/>
      <c r="C779" s="433"/>
      <c r="D779" s="433"/>
      <c r="E779" s="545"/>
      <c r="F779" s="353"/>
      <c r="G779" s="456"/>
      <c r="H779" s="455"/>
      <c r="I779" s="351"/>
      <c r="J779" s="433"/>
      <c r="K779" s="546"/>
      <c r="L779" s="351"/>
      <c r="M779" s="456"/>
      <c r="N779" s="353"/>
      <c r="O779" s="433"/>
    </row>
    <row r="780">
      <c r="A780" s="433"/>
      <c r="B780" s="456"/>
      <c r="C780" s="433"/>
      <c r="D780" s="433"/>
      <c r="E780" s="545"/>
      <c r="F780" s="353"/>
      <c r="G780" s="456"/>
      <c r="H780" s="455"/>
      <c r="I780" s="351"/>
      <c r="J780" s="433"/>
      <c r="K780" s="546"/>
      <c r="L780" s="351"/>
      <c r="M780" s="456"/>
      <c r="N780" s="353"/>
      <c r="O780" s="433"/>
    </row>
    <row r="781">
      <c r="A781" s="433"/>
      <c r="B781" s="456"/>
      <c r="C781" s="433"/>
      <c r="D781" s="433"/>
      <c r="E781" s="545"/>
      <c r="F781" s="353"/>
      <c r="G781" s="456"/>
      <c r="H781" s="455"/>
      <c r="I781" s="351"/>
      <c r="J781" s="433"/>
      <c r="K781" s="546"/>
      <c r="L781" s="351"/>
      <c r="M781" s="456"/>
      <c r="N781" s="353"/>
      <c r="O781" s="433"/>
    </row>
    <row r="782">
      <c r="A782" s="433"/>
      <c r="B782" s="456"/>
      <c r="C782" s="433"/>
      <c r="D782" s="433"/>
      <c r="E782" s="545"/>
      <c r="F782" s="353"/>
      <c r="G782" s="456"/>
      <c r="H782" s="455"/>
      <c r="I782" s="351"/>
      <c r="J782" s="433"/>
      <c r="K782" s="546"/>
      <c r="L782" s="351"/>
      <c r="M782" s="456"/>
      <c r="N782" s="353"/>
      <c r="O782" s="433"/>
    </row>
    <row r="783">
      <c r="A783" s="433"/>
      <c r="B783" s="456"/>
      <c r="C783" s="433"/>
      <c r="D783" s="433"/>
      <c r="E783" s="545"/>
      <c r="F783" s="353"/>
      <c r="G783" s="456"/>
      <c r="H783" s="455"/>
      <c r="I783" s="351"/>
      <c r="J783" s="433"/>
      <c r="K783" s="546"/>
      <c r="L783" s="351"/>
      <c r="M783" s="456"/>
      <c r="N783" s="353"/>
      <c r="O783" s="433"/>
    </row>
    <row r="784">
      <c r="A784" s="433"/>
      <c r="B784" s="456"/>
      <c r="C784" s="433"/>
      <c r="D784" s="433"/>
      <c r="E784" s="545"/>
      <c r="F784" s="353"/>
      <c r="G784" s="456"/>
      <c r="H784" s="455"/>
      <c r="I784" s="351"/>
      <c r="J784" s="433"/>
      <c r="K784" s="546"/>
      <c r="L784" s="351"/>
      <c r="M784" s="456"/>
      <c r="N784" s="353"/>
      <c r="O784" s="433"/>
    </row>
    <row r="785">
      <c r="A785" s="433"/>
      <c r="B785" s="456"/>
      <c r="C785" s="433"/>
      <c r="D785" s="433"/>
      <c r="E785" s="545"/>
      <c r="F785" s="353"/>
      <c r="G785" s="456"/>
      <c r="H785" s="455"/>
      <c r="I785" s="351"/>
      <c r="J785" s="433"/>
      <c r="K785" s="546"/>
      <c r="L785" s="351"/>
      <c r="M785" s="456"/>
      <c r="N785" s="353"/>
      <c r="O785" s="433"/>
    </row>
    <row r="786">
      <c r="A786" s="433"/>
      <c r="B786" s="456"/>
      <c r="C786" s="433"/>
      <c r="D786" s="433"/>
      <c r="E786" s="545"/>
      <c r="F786" s="353"/>
      <c r="G786" s="456"/>
      <c r="H786" s="455"/>
      <c r="I786" s="351"/>
      <c r="J786" s="433"/>
      <c r="K786" s="546"/>
      <c r="L786" s="351"/>
      <c r="M786" s="456"/>
      <c r="N786" s="353"/>
      <c r="O786" s="433"/>
    </row>
    <row r="787">
      <c r="A787" s="433"/>
      <c r="B787" s="456"/>
      <c r="C787" s="433"/>
      <c r="D787" s="433"/>
      <c r="E787" s="545"/>
      <c r="F787" s="353"/>
      <c r="G787" s="456"/>
      <c r="H787" s="455"/>
      <c r="I787" s="351"/>
      <c r="J787" s="433"/>
      <c r="K787" s="546"/>
      <c r="L787" s="351"/>
      <c r="M787" s="456"/>
      <c r="N787" s="353"/>
      <c r="O787" s="433"/>
    </row>
    <row r="788">
      <c r="A788" s="433"/>
      <c r="B788" s="456"/>
      <c r="C788" s="433"/>
      <c r="D788" s="433"/>
      <c r="E788" s="545"/>
      <c r="F788" s="353"/>
      <c r="G788" s="456"/>
      <c r="H788" s="455"/>
      <c r="I788" s="351"/>
      <c r="J788" s="433"/>
      <c r="K788" s="546"/>
      <c r="L788" s="351"/>
      <c r="M788" s="456"/>
      <c r="N788" s="353"/>
      <c r="O788" s="433"/>
    </row>
    <row r="789">
      <c r="A789" s="433"/>
      <c r="B789" s="456"/>
      <c r="C789" s="433"/>
      <c r="D789" s="433"/>
      <c r="E789" s="545"/>
      <c r="F789" s="353"/>
      <c r="G789" s="456"/>
      <c r="H789" s="455"/>
      <c r="I789" s="351"/>
      <c r="J789" s="433"/>
      <c r="K789" s="546"/>
      <c r="L789" s="351"/>
      <c r="M789" s="456"/>
      <c r="N789" s="353"/>
      <c r="O789" s="433"/>
    </row>
    <row r="790">
      <c r="A790" s="433"/>
      <c r="B790" s="456"/>
      <c r="C790" s="433"/>
      <c r="D790" s="433"/>
      <c r="E790" s="545"/>
      <c r="F790" s="353"/>
      <c r="G790" s="456"/>
      <c r="H790" s="455"/>
      <c r="I790" s="351"/>
      <c r="J790" s="433"/>
      <c r="K790" s="546"/>
      <c r="L790" s="351"/>
      <c r="M790" s="456"/>
      <c r="N790" s="353"/>
      <c r="O790" s="433"/>
    </row>
    <row r="791">
      <c r="A791" s="433"/>
      <c r="B791" s="456"/>
      <c r="C791" s="433"/>
      <c r="D791" s="433"/>
      <c r="E791" s="545"/>
      <c r="F791" s="353"/>
      <c r="G791" s="456"/>
      <c r="H791" s="455"/>
      <c r="I791" s="351"/>
      <c r="J791" s="433"/>
      <c r="K791" s="546"/>
      <c r="L791" s="351"/>
      <c r="M791" s="456"/>
      <c r="N791" s="353"/>
      <c r="O791" s="433"/>
    </row>
    <row r="792">
      <c r="A792" s="433"/>
      <c r="B792" s="456"/>
      <c r="C792" s="433"/>
      <c r="D792" s="433"/>
      <c r="E792" s="545"/>
      <c r="F792" s="353"/>
      <c r="G792" s="456"/>
      <c r="H792" s="455"/>
      <c r="I792" s="351"/>
      <c r="J792" s="433"/>
      <c r="K792" s="546"/>
      <c r="L792" s="351"/>
      <c r="M792" s="456"/>
      <c r="N792" s="353"/>
      <c r="O792" s="433"/>
    </row>
    <row r="793">
      <c r="A793" s="433"/>
      <c r="B793" s="456"/>
      <c r="C793" s="433"/>
      <c r="D793" s="433"/>
      <c r="E793" s="545"/>
      <c r="F793" s="353"/>
      <c r="G793" s="456"/>
      <c r="H793" s="455"/>
      <c r="I793" s="351"/>
      <c r="J793" s="433"/>
      <c r="K793" s="546"/>
      <c r="L793" s="351"/>
      <c r="M793" s="456"/>
      <c r="N793" s="353"/>
      <c r="O793" s="433"/>
    </row>
    <row r="794">
      <c r="A794" s="433"/>
      <c r="B794" s="456"/>
      <c r="C794" s="433"/>
      <c r="D794" s="433"/>
      <c r="E794" s="545"/>
      <c r="F794" s="353"/>
      <c r="G794" s="456"/>
      <c r="H794" s="455"/>
      <c r="I794" s="351"/>
      <c r="J794" s="433"/>
      <c r="K794" s="546"/>
      <c r="L794" s="351"/>
      <c r="M794" s="456"/>
      <c r="N794" s="353"/>
      <c r="O794" s="433"/>
    </row>
    <row r="795">
      <c r="A795" s="433"/>
      <c r="B795" s="456"/>
      <c r="C795" s="433"/>
      <c r="D795" s="433"/>
      <c r="E795" s="545"/>
      <c r="F795" s="353"/>
      <c r="G795" s="456"/>
      <c r="H795" s="455"/>
      <c r="I795" s="351"/>
      <c r="J795" s="433"/>
      <c r="K795" s="546"/>
      <c r="L795" s="351"/>
      <c r="M795" s="456"/>
      <c r="N795" s="353"/>
      <c r="O795" s="433"/>
    </row>
    <row r="796">
      <c r="A796" s="433"/>
      <c r="B796" s="456"/>
      <c r="C796" s="433"/>
      <c r="D796" s="433"/>
      <c r="E796" s="545"/>
      <c r="F796" s="353"/>
      <c r="G796" s="456"/>
      <c r="H796" s="455"/>
      <c r="I796" s="351"/>
      <c r="J796" s="433"/>
      <c r="K796" s="546"/>
      <c r="L796" s="351"/>
      <c r="M796" s="456"/>
      <c r="N796" s="353"/>
      <c r="O796" s="433"/>
    </row>
    <row r="797">
      <c r="A797" s="433"/>
      <c r="B797" s="456"/>
      <c r="C797" s="433"/>
      <c r="D797" s="433"/>
      <c r="E797" s="545"/>
      <c r="F797" s="353"/>
      <c r="G797" s="456"/>
      <c r="H797" s="455"/>
      <c r="I797" s="351"/>
      <c r="J797" s="433"/>
      <c r="K797" s="546"/>
      <c r="L797" s="351"/>
      <c r="M797" s="456"/>
      <c r="N797" s="353"/>
      <c r="O797" s="433"/>
    </row>
    <row r="798">
      <c r="A798" s="433"/>
      <c r="B798" s="456"/>
      <c r="C798" s="433"/>
      <c r="D798" s="433"/>
      <c r="E798" s="545"/>
      <c r="F798" s="353"/>
      <c r="G798" s="456"/>
      <c r="H798" s="455"/>
      <c r="I798" s="351"/>
      <c r="J798" s="433"/>
      <c r="K798" s="546"/>
      <c r="L798" s="351"/>
      <c r="M798" s="456"/>
      <c r="N798" s="353"/>
      <c r="O798" s="433"/>
    </row>
    <row r="799">
      <c r="A799" s="433"/>
      <c r="B799" s="456"/>
      <c r="C799" s="433"/>
      <c r="D799" s="433"/>
      <c r="E799" s="545"/>
      <c r="F799" s="353"/>
      <c r="G799" s="456"/>
      <c r="H799" s="455"/>
      <c r="I799" s="351"/>
      <c r="J799" s="433"/>
      <c r="K799" s="546"/>
      <c r="L799" s="351"/>
      <c r="M799" s="456"/>
      <c r="N799" s="353"/>
      <c r="O799" s="433"/>
    </row>
    <row r="800">
      <c r="A800" s="433"/>
      <c r="B800" s="456"/>
      <c r="C800" s="433"/>
      <c r="D800" s="433"/>
      <c r="E800" s="545"/>
      <c r="F800" s="353"/>
      <c r="G800" s="456"/>
      <c r="H800" s="455"/>
      <c r="I800" s="351"/>
      <c r="J800" s="433"/>
      <c r="K800" s="546"/>
      <c r="L800" s="351"/>
      <c r="M800" s="456"/>
      <c r="N800" s="353"/>
      <c r="O800" s="433"/>
    </row>
    <row r="801">
      <c r="A801" s="433"/>
      <c r="B801" s="456"/>
      <c r="C801" s="433"/>
      <c r="D801" s="433"/>
      <c r="E801" s="545"/>
      <c r="F801" s="353"/>
      <c r="G801" s="456"/>
      <c r="H801" s="455"/>
      <c r="I801" s="351"/>
      <c r="J801" s="433"/>
      <c r="K801" s="546"/>
      <c r="L801" s="351"/>
      <c r="M801" s="456"/>
      <c r="N801" s="353"/>
      <c r="O801" s="433"/>
    </row>
    <row r="802">
      <c r="A802" s="433"/>
      <c r="B802" s="456"/>
      <c r="C802" s="433"/>
      <c r="D802" s="433"/>
      <c r="E802" s="545"/>
      <c r="F802" s="353"/>
      <c r="G802" s="456"/>
      <c r="H802" s="455"/>
      <c r="I802" s="351"/>
      <c r="J802" s="433"/>
      <c r="K802" s="546"/>
      <c r="L802" s="351"/>
      <c r="M802" s="456"/>
      <c r="N802" s="353"/>
      <c r="O802" s="433"/>
    </row>
    <row r="803">
      <c r="A803" s="433"/>
      <c r="B803" s="456"/>
      <c r="C803" s="433"/>
      <c r="D803" s="433"/>
      <c r="E803" s="545"/>
      <c r="F803" s="353"/>
      <c r="G803" s="456"/>
      <c r="H803" s="455"/>
      <c r="I803" s="351"/>
      <c r="J803" s="433"/>
      <c r="K803" s="546"/>
      <c r="L803" s="351"/>
      <c r="M803" s="456"/>
      <c r="N803" s="353"/>
      <c r="O803" s="433"/>
    </row>
    <row r="804">
      <c r="A804" s="433"/>
      <c r="B804" s="456"/>
      <c r="C804" s="433"/>
      <c r="D804" s="433"/>
      <c r="E804" s="545"/>
      <c r="F804" s="353"/>
      <c r="G804" s="456"/>
      <c r="H804" s="455"/>
      <c r="I804" s="351"/>
      <c r="J804" s="433"/>
      <c r="K804" s="546"/>
      <c r="L804" s="351"/>
      <c r="M804" s="456"/>
      <c r="N804" s="353"/>
      <c r="O804" s="433"/>
    </row>
    <row r="805">
      <c r="A805" s="433"/>
      <c r="B805" s="456"/>
      <c r="C805" s="433"/>
      <c r="D805" s="433"/>
      <c r="E805" s="545"/>
      <c r="F805" s="353"/>
      <c r="G805" s="456"/>
      <c r="H805" s="455"/>
      <c r="I805" s="351"/>
      <c r="J805" s="433"/>
      <c r="K805" s="546"/>
      <c r="L805" s="351"/>
      <c r="M805" s="456"/>
      <c r="N805" s="353"/>
      <c r="O805" s="433"/>
    </row>
    <row r="806">
      <c r="A806" s="433"/>
      <c r="B806" s="456"/>
      <c r="C806" s="433"/>
      <c r="D806" s="433"/>
      <c r="E806" s="545"/>
      <c r="F806" s="353"/>
      <c r="G806" s="456"/>
      <c r="H806" s="455"/>
      <c r="I806" s="351"/>
      <c r="J806" s="433"/>
      <c r="K806" s="546"/>
      <c r="L806" s="351"/>
      <c r="M806" s="456"/>
      <c r="N806" s="353"/>
      <c r="O806" s="433"/>
    </row>
    <row r="807">
      <c r="A807" s="433"/>
      <c r="B807" s="456"/>
      <c r="C807" s="433"/>
      <c r="D807" s="433"/>
      <c r="E807" s="545"/>
      <c r="F807" s="353"/>
      <c r="G807" s="456"/>
      <c r="H807" s="455"/>
      <c r="I807" s="351"/>
      <c r="J807" s="433"/>
      <c r="K807" s="546"/>
      <c r="L807" s="351"/>
      <c r="M807" s="456"/>
      <c r="N807" s="353"/>
      <c r="O807" s="433"/>
    </row>
    <row r="808">
      <c r="A808" s="433"/>
      <c r="B808" s="456"/>
      <c r="C808" s="433"/>
      <c r="D808" s="433"/>
      <c r="E808" s="545"/>
      <c r="F808" s="353"/>
      <c r="G808" s="456"/>
      <c r="H808" s="455"/>
      <c r="I808" s="351"/>
      <c r="J808" s="433"/>
      <c r="K808" s="546"/>
      <c r="L808" s="351"/>
      <c r="M808" s="456"/>
      <c r="N808" s="353"/>
      <c r="O808" s="433"/>
    </row>
    <row r="809">
      <c r="A809" s="433"/>
      <c r="B809" s="456"/>
      <c r="C809" s="433"/>
      <c r="D809" s="433"/>
      <c r="E809" s="545"/>
      <c r="F809" s="353"/>
      <c r="G809" s="456"/>
      <c r="H809" s="455"/>
      <c r="I809" s="351"/>
      <c r="J809" s="433"/>
      <c r="K809" s="546"/>
      <c r="L809" s="351"/>
      <c r="M809" s="456"/>
      <c r="N809" s="353"/>
      <c r="O809" s="433"/>
    </row>
    <row r="810">
      <c r="A810" s="433"/>
      <c r="B810" s="456"/>
      <c r="C810" s="433"/>
      <c r="D810" s="433"/>
      <c r="E810" s="545"/>
      <c r="F810" s="353"/>
      <c r="G810" s="456"/>
      <c r="H810" s="455"/>
      <c r="I810" s="351"/>
      <c r="J810" s="433"/>
      <c r="K810" s="546"/>
      <c r="L810" s="351"/>
      <c r="M810" s="456"/>
      <c r="N810" s="353"/>
      <c r="O810" s="433"/>
    </row>
    <row r="811">
      <c r="A811" s="433"/>
      <c r="B811" s="456"/>
      <c r="C811" s="433"/>
      <c r="D811" s="433"/>
      <c r="E811" s="545"/>
      <c r="F811" s="353"/>
      <c r="G811" s="456"/>
      <c r="H811" s="455"/>
      <c r="I811" s="351"/>
      <c r="J811" s="433"/>
      <c r="K811" s="546"/>
      <c r="L811" s="351"/>
      <c r="M811" s="456"/>
      <c r="N811" s="353"/>
      <c r="O811" s="433"/>
    </row>
    <row r="812">
      <c r="A812" s="433"/>
      <c r="B812" s="456"/>
      <c r="C812" s="433"/>
      <c r="D812" s="433"/>
      <c r="E812" s="545"/>
      <c r="F812" s="353"/>
      <c r="G812" s="456"/>
      <c r="H812" s="455"/>
      <c r="I812" s="351"/>
      <c r="J812" s="433"/>
      <c r="K812" s="546"/>
      <c r="L812" s="351"/>
      <c r="M812" s="456"/>
      <c r="N812" s="353"/>
      <c r="O812" s="433"/>
    </row>
    <row r="813">
      <c r="A813" s="433"/>
      <c r="B813" s="456"/>
      <c r="C813" s="433"/>
      <c r="D813" s="433"/>
      <c r="E813" s="545"/>
      <c r="F813" s="353"/>
      <c r="G813" s="456"/>
      <c r="H813" s="455"/>
      <c r="I813" s="351"/>
      <c r="J813" s="433"/>
      <c r="K813" s="546"/>
      <c r="L813" s="351"/>
      <c r="M813" s="456"/>
      <c r="N813" s="353"/>
      <c r="O813" s="433"/>
    </row>
    <row r="814">
      <c r="A814" s="433"/>
      <c r="B814" s="456"/>
      <c r="C814" s="433"/>
      <c r="D814" s="433"/>
      <c r="E814" s="545"/>
      <c r="F814" s="353"/>
      <c r="G814" s="456"/>
      <c r="H814" s="455"/>
      <c r="I814" s="351"/>
      <c r="J814" s="433"/>
      <c r="K814" s="546"/>
      <c r="L814" s="351"/>
      <c r="M814" s="456"/>
      <c r="N814" s="353"/>
      <c r="O814" s="433"/>
    </row>
    <row r="815">
      <c r="A815" s="433"/>
      <c r="B815" s="456"/>
      <c r="C815" s="433"/>
      <c r="D815" s="433"/>
      <c r="E815" s="545"/>
      <c r="F815" s="353"/>
      <c r="G815" s="456"/>
      <c r="H815" s="455"/>
      <c r="I815" s="351"/>
      <c r="J815" s="433"/>
      <c r="K815" s="546"/>
      <c r="L815" s="351"/>
      <c r="M815" s="456"/>
      <c r="N815" s="353"/>
      <c r="O815" s="433"/>
    </row>
    <row r="816">
      <c r="A816" s="433"/>
      <c r="B816" s="456"/>
      <c r="C816" s="433"/>
      <c r="D816" s="433"/>
      <c r="E816" s="545"/>
      <c r="F816" s="353"/>
      <c r="G816" s="456"/>
      <c r="H816" s="455"/>
      <c r="I816" s="351"/>
      <c r="J816" s="433"/>
      <c r="K816" s="546"/>
      <c r="L816" s="351"/>
      <c r="M816" s="456"/>
      <c r="N816" s="353"/>
      <c r="O816" s="433"/>
    </row>
    <row r="817">
      <c r="A817" s="433"/>
      <c r="B817" s="456"/>
      <c r="C817" s="433"/>
      <c r="D817" s="433"/>
      <c r="E817" s="545"/>
      <c r="F817" s="353"/>
      <c r="G817" s="456"/>
      <c r="H817" s="455"/>
      <c r="I817" s="351"/>
      <c r="J817" s="433"/>
      <c r="K817" s="546"/>
      <c r="L817" s="351"/>
      <c r="M817" s="456"/>
      <c r="N817" s="353"/>
      <c r="O817" s="433"/>
    </row>
    <row r="818">
      <c r="A818" s="433"/>
      <c r="B818" s="456"/>
      <c r="C818" s="433"/>
      <c r="D818" s="433"/>
      <c r="E818" s="545"/>
      <c r="F818" s="353"/>
      <c r="G818" s="456"/>
      <c r="H818" s="455"/>
      <c r="I818" s="351"/>
      <c r="J818" s="433"/>
      <c r="K818" s="546"/>
      <c r="L818" s="351"/>
      <c r="M818" s="456"/>
      <c r="N818" s="353"/>
      <c r="O818" s="433"/>
    </row>
    <row r="819">
      <c r="A819" s="433"/>
      <c r="B819" s="456"/>
      <c r="C819" s="433"/>
      <c r="D819" s="433"/>
      <c r="E819" s="545"/>
      <c r="F819" s="353"/>
      <c r="G819" s="456"/>
      <c r="H819" s="455"/>
      <c r="I819" s="351"/>
      <c r="J819" s="433"/>
      <c r="K819" s="546"/>
      <c r="L819" s="351"/>
      <c r="M819" s="456"/>
      <c r="N819" s="353"/>
      <c r="O819" s="433"/>
    </row>
    <row r="820">
      <c r="A820" s="433"/>
      <c r="B820" s="456"/>
      <c r="C820" s="433"/>
      <c r="D820" s="433"/>
      <c r="E820" s="545"/>
      <c r="F820" s="353"/>
      <c r="G820" s="456"/>
      <c r="H820" s="455"/>
      <c r="I820" s="351"/>
      <c r="J820" s="433"/>
      <c r="K820" s="546"/>
      <c r="L820" s="351"/>
      <c r="M820" s="456"/>
      <c r="N820" s="353"/>
      <c r="O820" s="433"/>
    </row>
    <row r="821">
      <c r="A821" s="433"/>
      <c r="B821" s="456"/>
      <c r="C821" s="433"/>
      <c r="D821" s="433"/>
      <c r="E821" s="545"/>
      <c r="F821" s="353"/>
      <c r="G821" s="456"/>
      <c r="H821" s="455"/>
      <c r="I821" s="351"/>
      <c r="J821" s="433"/>
      <c r="K821" s="546"/>
      <c r="L821" s="351"/>
      <c r="M821" s="456"/>
      <c r="N821" s="353"/>
      <c r="O821" s="433"/>
    </row>
    <row r="822">
      <c r="A822" s="433"/>
      <c r="B822" s="456"/>
      <c r="C822" s="433"/>
      <c r="D822" s="433"/>
      <c r="E822" s="545"/>
      <c r="F822" s="353"/>
      <c r="G822" s="456"/>
      <c r="H822" s="455"/>
      <c r="I822" s="351"/>
      <c r="J822" s="433"/>
      <c r="K822" s="546"/>
      <c r="L822" s="351"/>
      <c r="M822" s="456"/>
      <c r="N822" s="353"/>
      <c r="O822" s="433"/>
    </row>
    <row r="823">
      <c r="A823" s="433"/>
      <c r="B823" s="456"/>
      <c r="C823" s="433"/>
      <c r="D823" s="433"/>
      <c r="E823" s="545"/>
      <c r="F823" s="353"/>
      <c r="G823" s="456"/>
      <c r="H823" s="455"/>
      <c r="I823" s="351"/>
      <c r="J823" s="433"/>
      <c r="K823" s="546"/>
      <c r="L823" s="351"/>
      <c r="M823" s="456"/>
      <c r="N823" s="353"/>
      <c r="O823" s="433"/>
    </row>
    <row r="824">
      <c r="A824" s="433"/>
      <c r="B824" s="456"/>
      <c r="C824" s="433"/>
      <c r="D824" s="433"/>
      <c r="E824" s="545"/>
      <c r="F824" s="353"/>
      <c r="G824" s="456"/>
      <c r="H824" s="455"/>
      <c r="I824" s="351"/>
      <c r="J824" s="433"/>
      <c r="K824" s="546"/>
      <c r="L824" s="351"/>
      <c r="M824" s="456"/>
      <c r="N824" s="353"/>
      <c r="O824" s="433"/>
    </row>
    <row r="825">
      <c r="A825" s="433"/>
      <c r="B825" s="456"/>
      <c r="C825" s="433"/>
      <c r="D825" s="433"/>
      <c r="E825" s="545"/>
      <c r="F825" s="353"/>
      <c r="G825" s="456"/>
      <c r="H825" s="455"/>
      <c r="I825" s="351"/>
      <c r="J825" s="433"/>
      <c r="K825" s="546"/>
      <c r="L825" s="351"/>
      <c r="M825" s="456"/>
      <c r="N825" s="353"/>
      <c r="O825" s="433"/>
    </row>
    <row r="826">
      <c r="A826" s="433"/>
      <c r="B826" s="456"/>
      <c r="C826" s="433"/>
      <c r="D826" s="433"/>
      <c r="E826" s="545"/>
      <c r="F826" s="353"/>
      <c r="G826" s="456"/>
      <c r="H826" s="455"/>
      <c r="I826" s="351"/>
      <c r="J826" s="433"/>
      <c r="K826" s="546"/>
      <c r="L826" s="351"/>
      <c r="M826" s="456"/>
      <c r="N826" s="353"/>
      <c r="O826" s="433"/>
    </row>
    <row r="827">
      <c r="A827" s="433"/>
      <c r="B827" s="456"/>
      <c r="C827" s="433"/>
      <c r="D827" s="433"/>
      <c r="E827" s="545"/>
      <c r="F827" s="353"/>
      <c r="G827" s="456"/>
      <c r="H827" s="455"/>
      <c r="I827" s="351"/>
      <c r="J827" s="433"/>
      <c r="K827" s="546"/>
      <c r="L827" s="351"/>
      <c r="M827" s="456"/>
      <c r="N827" s="353"/>
      <c r="O827" s="433"/>
    </row>
    <row r="828">
      <c r="A828" s="433"/>
      <c r="B828" s="456"/>
      <c r="C828" s="433"/>
      <c r="D828" s="433"/>
      <c r="E828" s="545"/>
      <c r="F828" s="353"/>
      <c r="G828" s="456"/>
      <c r="H828" s="455"/>
      <c r="I828" s="351"/>
      <c r="J828" s="433"/>
      <c r="K828" s="546"/>
      <c r="L828" s="351"/>
      <c r="M828" s="456"/>
      <c r="N828" s="353"/>
      <c r="O828" s="433"/>
    </row>
    <row r="829">
      <c r="A829" s="433"/>
      <c r="B829" s="456"/>
      <c r="C829" s="433"/>
      <c r="D829" s="433"/>
      <c r="E829" s="545"/>
      <c r="F829" s="353"/>
      <c r="G829" s="456"/>
      <c r="H829" s="455"/>
      <c r="I829" s="351"/>
      <c r="J829" s="433"/>
      <c r="K829" s="546"/>
      <c r="L829" s="351"/>
      <c r="M829" s="456"/>
      <c r="N829" s="353"/>
      <c r="O829" s="433"/>
    </row>
    <row r="830">
      <c r="A830" s="433"/>
      <c r="B830" s="456"/>
      <c r="C830" s="433"/>
      <c r="D830" s="433"/>
      <c r="E830" s="545"/>
      <c r="F830" s="353"/>
      <c r="G830" s="456"/>
      <c r="H830" s="455"/>
      <c r="I830" s="351"/>
      <c r="J830" s="433"/>
      <c r="K830" s="546"/>
      <c r="L830" s="351"/>
      <c r="M830" s="456"/>
      <c r="N830" s="353"/>
      <c r="O830" s="433"/>
    </row>
    <row r="831">
      <c r="A831" s="433"/>
      <c r="B831" s="456"/>
      <c r="C831" s="433"/>
      <c r="D831" s="433"/>
      <c r="E831" s="545"/>
      <c r="F831" s="353"/>
      <c r="G831" s="456"/>
      <c r="H831" s="455"/>
      <c r="I831" s="351"/>
      <c r="J831" s="433"/>
      <c r="K831" s="546"/>
      <c r="L831" s="351"/>
      <c r="M831" s="456"/>
      <c r="N831" s="353"/>
      <c r="O831" s="433"/>
    </row>
    <row r="832">
      <c r="A832" s="433"/>
      <c r="B832" s="456"/>
      <c r="C832" s="433"/>
      <c r="D832" s="433"/>
      <c r="E832" s="545"/>
      <c r="F832" s="353"/>
      <c r="G832" s="456"/>
      <c r="H832" s="455"/>
      <c r="I832" s="351"/>
      <c r="J832" s="433"/>
      <c r="K832" s="546"/>
      <c r="L832" s="351"/>
      <c r="M832" s="456"/>
      <c r="N832" s="353"/>
      <c r="O832" s="433"/>
    </row>
    <row r="833">
      <c r="A833" s="433"/>
      <c r="B833" s="456"/>
      <c r="C833" s="433"/>
      <c r="D833" s="433"/>
      <c r="E833" s="545"/>
      <c r="F833" s="353"/>
      <c r="G833" s="456"/>
      <c r="H833" s="455"/>
      <c r="I833" s="351"/>
      <c r="J833" s="433"/>
      <c r="K833" s="546"/>
      <c r="L833" s="351"/>
      <c r="M833" s="456"/>
      <c r="N833" s="353"/>
      <c r="O833" s="433"/>
    </row>
    <row r="834">
      <c r="A834" s="433"/>
      <c r="B834" s="456"/>
      <c r="C834" s="433"/>
      <c r="D834" s="433"/>
      <c r="E834" s="545"/>
      <c r="F834" s="353"/>
      <c r="G834" s="456"/>
      <c r="H834" s="455"/>
      <c r="I834" s="351"/>
      <c r="J834" s="433"/>
      <c r="K834" s="546"/>
      <c r="L834" s="351"/>
      <c r="M834" s="456"/>
      <c r="N834" s="353"/>
      <c r="O834" s="433"/>
    </row>
    <row r="835">
      <c r="A835" s="433"/>
      <c r="B835" s="456"/>
      <c r="C835" s="433"/>
      <c r="D835" s="433"/>
      <c r="E835" s="545"/>
      <c r="F835" s="353"/>
      <c r="G835" s="456"/>
      <c r="H835" s="455"/>
      <c r="I835" s="351"/>
      <c r="J835" s="433"/>
      <c r="K835" s="546"/>
      <c r="L835" s="351"/>
      <c r="M835" s="456"/>
      <c r="N835" s="353"/>
      <c r="O835" s="433"/>
    </row>
    <row r="836">
      <c r="A836" s="433"/>
      <c r="B836" s="456"/>
      <c r="C836" s="433"/>
      <c r="D836" s="433"/>
      <c r="E836" s="545"/>
      <c r="F836" s="353"/>
      <c r="G836" s="456"/>
      <c r="H836" s="455"/>
      <c r="I836" s="351"/>
      <c r="J836" s="433"/>
      <c r="K836" s="546"/>
      <c r="L836" s="351"/>
      <c r="M836" s="456"/>
      <c r="N836" s="353"/>
      <c r="O836" s="433"/>
    </row>
    <row r="837">
      <c r="A837" s="433"/>
      <c r="B837" s="456"/>
      <c r="C837" s="433"/>
      <c r="D837" s="433"/>
      <c r="E837" s="545"/>
      <c r="F837" s="353"/>
      <c r="G837" s="456"/>
      <c r="H837" s="455"/>
      <c r="I837" s="351"/>
      <c r="J837" s="433"/>
      <c r="K837" s="546"/>
      <c r="L837" s="351"/>
      <c r="M837" s="456"/>
      <c r="N837" s="353"/>
      <c r="O837" s="433"/>
    </row>
    <row r="838">
      <c r="A838" s="433"/>
      <c r="B838" s="456"/>
      <c r="C838" s="433"/>
      <c r="D838" s="433"/>
      <c r="E838" s="545"/>
      <c r="F838" s="353"/>
      <c r="G838" s="456"/>
      <c r="H838" s="455"/>
      <c r="I838" s="351"/>
      <c r="J838" s="433"/>
      <c r="K838" s="546"/>
      <c r="L838" s="351"/>
      <c r="M838" s="456"/>
      <c r="N838" s="353"/>
      <c r="O838" s="433"/>
    </row>
    <row r="839">
      <c r="A839" s="433"/>
      <c r="B839" s="456"/>
      <c r="C839" s="433"/>
      <c r="D839" s="433"/>
      <c r="E839" s="545"/>
      <c r="F839" s="353"/>
      <c r="G839" s="456"/>
      <c r="H839" s="455"/>
      <c r="I839" s="351"/>
      <c r="J839" s="433"/>
      <c r="K839" s="546"/>
      <c r="L839" s="351"/>
      <c r="M839" s="456"/>
      <c r="N839" s="353"/>
      <c r="O839" s="433"/>
    </row>
    <row r="840">
      <c r="A840" s="433"/>
      <c r="B840" s="456"/>
      <c r="C840" s="433"/>
      <c r="D840" s="433"/>
      <c r="E840" s="545"/>
      <c r="F840" s="353"/>
      <c r="G840" s="456"/>
      <c r="H840" s="455"/>
      <c r="I840" s="351"/>
      <c r="J840" s="433"/>
      <c r="K840" s="546"/>
      <c r="L840" s="351"/>
      <c r="M840" s="456"/>
      <c r="N840" s="353"/>
      <c r="O840" s="433"/>
    </row>
    <row r="841">
      <c r="A841" s="433"/>
      <c r="B841" s="456"/>
      <c r="C841" s="433"/>
      <c r="D841" s="433"/>
      <c r="E841" s="545"/>
      <c r="F841" s="353"/>
      <c r="G841" s="456"/>
      <c r="H841" s="455"/>
      <c r="I841" s="351"/>
      <c r="J841" s="433"/>
      <c r="K841" s="546"/>
      <c r="L841" s="351"/>
      <c r="M841" s="456"/>
      <c r="N841" s="353"/>
      <c r="O841" s="433"/>
    </row>
    <row r="842">
      <c r="A842" s="433"/>
      <c r="B842" s="456"/>
      <c r="C842" s="433"/>
      <c r="D842" s="433"/>
      <c r="E842" s="545"/>
      <c r="F842" s="353"/>
      <c r="G842" s="456"/>
      <c r="H842" s="455"/>
      <c r="I842" s="351"/>
      <c r="J842" s="433"/>
      <c r="K842" s="546"/>
      <c r="L842" s="351"/>
      <c r="M842" s="456"/>
      <c r="N842" s="353"/>
      <c r="O842" s="433"/>
    </row>
    <row r="843">
      <c r="A843" s="433"/>
      <c r="B843" s="456"/>
      <c r="C843" s="433"/>
      <c r="D843" s="433"/>
      <c r="E843" s="545"/>
      <c r="F843" s="353"/>
      <c r="G843" s="456"/>
      <c r="H843" s="455"/>
      <c r="I843" s="351"/>
      <c r="J843" s="433"/>
      <c r="K843" s="546"/>
      <c r="L843" s="351"/>
      <c r="M843" s="456"/>
      <c r="N843" s="353"/>
      <c r="O843" s="433"/>
    </row>
    <row r="844">
      <c r="A844" s="433"/>
      <c r="B844" s="456"/>
      <c r="C844" s="433"/>
      <c r="D844" s="433"/>
      <c r="E844" s="545"/>
      <c r="F844" s="353"/>
      <c r="G844" s="456"/>
      <c r="H844" s="455"/>
      <c r="I844" s="351"/>
      <c r="J844" s="433"/>
      <c r="K844" s="546"/>
      <c r="L844" s="351"/>
      <c r="M844" s="456"/>
      <c r="N844" s="353"/>
      <c r="O844" s="433"/>
    </row>
    <row r="845">
      <c r="A845" s="433"/>
      <c r="B845" s="456"/>
      <c r="C845" s="433"/>
      <c r="D845" s="433"/>
      <c r="E845" s="545"/>
      <c r="F845" s="353"/>
      <c r="G845" s="456"/>
      <c r="H845" s="455"/>
      <c r="I845" s="351"/>
      <c r="J845" s="433"/>
      <c r="K845" s="546"/>
      <c r="L845" s="351"/>
      <c r="M845" s="456"/>
      <c r="N845" s="353"/>
      <c r="O845" s="433"/>
    </row>
    <row r="846">
      <c r="A846" s="433"/>
      <c r="B846" s="456"/>
      <c r="C846" s="433"/>
      <c r="D846" s="433"/>
      <c r="E846" s="545"/>
      <c r="F846" s="353"/>
      <c r="G846" s="456"/>
      <c r="H846" s="455"/>
      <c r="I846" s="351"/>
      <c r="J846" s="433"/>
      <c r="K846" s="546"/>
      <c r="L846" s="351"/>
      <c r="M846" s="456"/>
      <c r="N846" s="353"/>
      <c r="O846" s="433"/>
    </row>
    <row r="847">
      <c r="A847" s="433"/>
      <c r="B847" s="456"/>
      <c r="C847" s="433"/>
      <c r="D847" s="433"/>
      <c r="E847" s="545"/>
      <c r="F847" s="353"/>
      <c r="G847" s="456"/>
      <c r="H847" s="455"/>
      <c r="I847" s="351"/>
      <c r="J847" s="433"/>
      <c r="K847" s="546"/>
      <c r="L847" s="351"/>
      <c r="M847" s="456"/>
      <c r="N847" s="353"/>
      <c r="O847" s="433"/>
    </row>
    <row r="848">
      <c r="A848" s="433"/>
      <c r="B848" s="456"/>
      <c r="C848" s="433"/>
      <c r="D848" s="433"/>
      <c r="E848" s="545"/>
      <c r="F848" s="353"/>
      <c r="G848" s="456"/>
      <c r="H848" s="455"/>
      <c r="I848" s="351"/>
      <c r="J848" s="433"/>
      <c r="K848" s="546"/>
      <c r="L848" s="351"/>
      <c r="M848" s="456"/>
      <c r="N848" s="353"/>
      <c r="O848" s="433"/>
    </row>
    <row r="849">
      <c r="A849" s="433"/>
      <c r="B849" s="456"/>
      <c r="C849" s="433"/>
      <c r="D849" s="433"/>
      <c r="E849" s="545"/>
      <c r="F849" s="353"/>
      <c r="G849" s="456"/>
      <c r="H849" s="455"/>
      <c r="I849" s="351"/>
      <c r="J849" s="433"/>
      <c r="K849" s="546"/>
      <c r="L849" s="351"/>
      <c r="M849" s="456"/>
      <c r="N849" s="353"/>
      <c r="O849" s="433"/>
    </row>
    <row r="850">
      <c r="A850" s="433"/>
      <c r="B850" s="456"/>
      <c r="C850" s="433"/>
      <c r="D850" s="433"/>
      <c r="E850" s="545"/>
      <c r="F850" s="353"/>
      <c r="G850" s="456"/>
      <c r="H850" s="455"/>
      <c r="I850" s="351"/>
      <c r="J850" s="433"/>
      <c r="K850" s="546"/>
      <c r="L850" s="351"/>
      <c r="M850" s="456"/>
      <c r="N850" s="353"/>
      <c r="O850" s="433"/>
    </row>
    <row r="851">
      <c r="A851" s="433"/>
      <c r="B851" s="456"/>
      <c r="C851" s="433"/>
      <c r="D851" s="433"/>
      <c r="E851" s="545"/>
      <c r="F851" s="353"/>
      <c r="G851" s="456"/>
      <c r="H851" s="455"/>
      <c r="I851" s="351"/>
      <c r="J851" s="433"/>
      <c r="K851" s="546"/>
      <c r="L851" s="351"/>
      <c r="M851" s="456"/>
      <c r="N851" s="353"/>
      <c r="O851" s="433"/>
    </row>
    <row r="852">
      <c r="A852" s="433"/>
      <c r="B852" s="456"/>
      <c r="C852" s="433"/>
      <c r="D852" s="433"/>
      <c r="E852" s="545"/>
      <c r="F852" s="353"/>
      <c r="G852" s="456"/>
      <c r="H852" s="455"/>
      <c r="I852" s="351"/>
      <c r="J852" s="433"/>
      <c r="K852" s="546"/>
      <c r="L852" s="351"/>
      <c r="M852" s="456"/>
      <c r="N852" s="353"/>
      <c r="O852" s="433"/>
    </row>
    <row r="853">
      <c r="A853" s="433"/>
      <c r="B853" s="456"/>
      <c r="C853" s="433"/>
      <c r="D853" s="433"/>
      <c r="E853" s="545"/>
      <c r="F853" s="353"/>
      <c r="G853" s="456"/>
      <c r="H853" s="455"/>
      <c r="I853" s="351"/>
      <c r="J853" s="433"/>
      <c r="K853" s="546"/>
      <c r="L853" s="351"/>
      <c r="M853" s="456"/>
      <c r="N853" s="353"/>
      <c r="O853" s="433"/>
    </row>
    <row r="854">
      <c r="A854" s="433"/>
      <c r="B854" s="456"/>
      <c r="C854" s="433"/>
      <c r="D854" s="433"/>
      <c r="E854" s="545"/>
      <c r="F854" s="353"/>
      <c r="G854" s="456"/>
      <c r="H854" s="455"/>
      <c r="I854" s="351"/>
      <c r="J854" s="433"/>
      <c r="K854" s="546"/>
      <c r="L854" s="351"/>
      <c r="M854" s="456"/>
      <c r="N854" s="353"/>
      <c r="O854" s="433"/>
    </row>
    <row r="855">
      <c r="A855" s="433"/>
      <c r="B855" s="456"/>
      <c r="C855" s="433"/>
      <c r="D855" s="433"/>
      <c r="E855" s="545"/>
      <c r="F855" s="353"/>
      <c r="G855" s="456"/>
      <c r="H855" s="455"/>
      <c r="I855" s="351"/>
      <c r="J855" s="433"/>
      <c r="K855" s="546"/>
      <c r="L855" s="351"/>
      <c r="M855" s="456"/>
      <c r="N855" s="353"/>
      <c r="O855" s="433"/>
    </row>
    <row r="856">
      <c r="A856" s="433"/>
      <c r="B856" s="456"/>
      <c r="C856" s="433"/>
      <c r="D856" s="433"/>
      <c r="E856" s="545"/>
      <c r="F856" s="353"/>
      <c r="G856" s="456"/>
      <c r="H856" s="455"/>
      <c r="I856" s="351"/>
      <c r="J856" s="433"/>
      <c r="K856" s="546"/>
      <c r="L856" s="351"/>
      <c r="M856" s="456"/>
      <c r="N856" s="353"/>
      <c r="O856" s="433"/>
    </row>
    <row r="857">
      <c r="A857" s="433"/>
      <c r="B857" s="456"/>
      <c r="C857" s="433"/>
      <c r="D857" s="433"/>
      <c r="E857" s="545"/>
      <c r="F857" s="353"/>
      <c r="G857" s="456"/>
      <c r="H857" s="455"/>
      <c r="I857" s="351"/>
      <c r="J857" s="433"/>
      <c r="K857" s="546"/>
      <c r="L857" s="351"/>
      <c r="M857" s="456"/>
      <c r="N857" s="353"/>
      <c r="O857" s="433"/>
    </row>
    <row r="858">
      <c r="A858" s="433"/>
      <c r="B858" s="456"/>
      <c r="C858" s="433"/>
      <c r="D858" s="433"/>
      <c r="E858" s="545"/>
      <c r="F858" s="353"/>
      <c r="G858" s="456"/>
      <c r="H858" s="455"/>
      <c r="I858" s="351"/>
      <c r="J858" s="433"/>
      <c r="K858" s="546"/>
      <c r="L858" s="351"/>
      <c r="M858" s="456"/>
      <c r="N858" s="353"/>
      <c r="O858" s="433"/>
    </row>
    <row r="859">
      <c r="A859" s="433"/>
      <c r="B859" s="456"/>
      <c r="C859" s="433"/>
      <c r="D859" s="433"/>
      <c r="E859" s="545"/>
      <c r="F859" s="353"/>
      <c r="G859" s="456"/>
      <c r="H859" s="455"/>
      <c r="I859" s="351"/>
      <c r="J859" s="433"/>
      <c r="K859" s="546"/>
      <c r="L859" s="351"/>
      <c r="M859" s="456"/>
      <c r="N859" s="353"/>
      <c r="O859" s="433"/>
    </row>
    <row r="860">
      <c r="A860" s="433"/>
      <c r="B860" s="456"/>
      <c r="C860" s="433"/>
      <c r="D860" s="433"/>
      <c r="E860" s="545"/>
      <c r="F860" s="353"/>
      <c r="G860" s="456"/>
      <c r="H860" s="455"/>
      <c r="I860" s="351"/>
      <c r="J860" s="433"/>
      <c r="K860" s="546"/>
      <c r="L860" s="351"/>
      <c r="M860" s="456"/>
      <c r="N860" s="353"/>
      <c r="O860" s="433"/>
    </row>
    <row r="861">
      <c r="A861" s="433"/>
      <c r="B861" s="456"/>
      <c r="C861" s="433"/>
      <c r="D861" s="433"/>
      <c r="E861" s="545"/>
      <c r="F861" s="353"/>
      <c r="G861" s="456"/>
      <c r="H861" s="455"/>
      <c r="I861" s="351"/>
      <c r="J861" s="433"/>
      <c r="K861" s="546"/>
      <c r="L861" s="351"/>
      <c r="M861" s="456"/>
      <c r="N861" s="353"/>
      <c r="O861" s="433"/>
    </row>
    <row r="862">
      <c r="A862" s="433"/>
      <c r="B862" s="456"/>
      <c r="C862" s="433"/>
      <c r="D862" s="433"/>
      <c r="E862" s="545"/>
      <c r="F862" s="353"/>
      <c r="G862" s="456"/>
      <c r="H862" s="455"/>
      <c r="I862" s="351"/>
      <c r="J862" s="433"/>
      <c r="K862" s="546"/>
      <c r="L862" s="351"/>
      <c r="M862" s="456"/>
      <c r="N862" s="353"/>
      <c r="O862" s="433"/>
    </row>
    <row r="863">
      <c r="A863" s="433"/>
      <c r="B863" s="456"/>
      <c r="C863" s="433"/>
      <c r="D863" s="433"/>
      <c r="E863" s="545"/>
      <c r="F863" s="353"/>
      <c r="G863" s="456"/>
      <c r="H863" s="455"/>
      <c r="I863" s="351"/>
      <c r="J863" s="433"/>
      <c r="K863" s="546"/>
      <c r="L863" s="351"/>
      <c r="M863" s="456"/>
      <c r="N863" s="353"/>
      <c r="O863" s="433"/>
    </row>
    <row r="864">
      <c r="A864" s="433"/>
      <c r="B864" s="456"/>
      <c r="C864" s="433"/>
      <c r="D864" s="433"/>
      <c r="E864" s="545"/>
      <c r="F864" s="353"/>
      <c r="G864" s="456"/>
      <c r="H864" s="455"/>
      <c r="I864" s="351"/>
      <c r="J864" s="433"/>
      <c r="K864" s="546"/>
      <c r="L864" s="351"/>
      <c r="M864" s="456"/>
      <c r="N864" s="353"/>
      <c r="O864" s="433"/>
    </row>
    <row r="865">
      <c r="A865" s="433"/>
      <c r="B865" s="456"/>
      <c r="C865" s="433"/>
      <c r="D865" s="433"/>
      <c r="E865" s="545"/>
      <c r="F865" s="353"/>
      <c r="G865" s="456"/>
      <c r="H865" s="455"/>
      <c r="I865" s="351"/>
      <c r="J865" s="433"/>
      <c r="K865" s="546"/>
      <c r="L865" s="351"/>
      <c r="M865" s="456"/>
      <c r="N865" s="353"/>
      <c r="O865" s="433"/>
    </row>
    <row r="866">
      <c r="A866" s="433"/>
      <c r="B866" s="456"/>
      <c r="C866" s="433"/>
      <c r="D866" s="433"/>
      <c r="E866" s="545"/>
      <c r="F866" s="353"/>
      <c r="G866" s="456"/>
      <c r="H866" s="455"/>
      <c r="I866" s="351"/>
      <c r="J866" s="433"/>
      <c r="K866" s="546"/>
      <c r="L866" s="351"/>
      <c r="M866" s="456"/>
      <c r="N866" s="353"/>
      <c r="O866" s="433"/>
    </row>
    <row r="867">
      <c r="A867" s="433"/>
      <c r="B867" s="456"/>
      <c r="C867" s="433"/>
      <c r="D867" s="433"/>
      <c r="E867" s="545"/>
      <c r="F867" s="353"/>
      <c r="G867" s="456"/>
      <c r="H867" s="455"/>
      <c r="I867" s="351"/>
      <c r="J867" s="433"/>
      <c r="K867" s="546"/>
      <c r="L867" s="351"/>
      <c r="M867" s="456"/>
      <c r="N867" s="353"/>
      <c r="O867" s="433"/>
    </row>
    <row r="868">
      <c r="A868" s="433"/>
      <c r="B868" s="456"/>
      <c r="C868" s="433"/>
      <c r="D868" s="433"/>
      <c r="E868" s="545"/>
      <c r="F868" s="353"/>
      <c r="G868" s="456"/>
      <c r="H868" s="455"/>
      <c r="I868" s="351"/>
      <c r="J868" s="433"/>
      <c r="K868" s="546"/>
      <c r="L868" s="351"/>
      <c r="M868" s="456"/>
      <c r="N868" s="353"/>
      <c r="O868" s="433"/>
    </row>
    <row r="869">
      <c r="A869" s="433"/>
      <c r="B869" s="456"/>
      <c r="C869" s="433"/>
      <c r="D869" s="433"/>
      <c r="E869" s="545"/>
      <c r="F869" s="353"/>
      <c r="G869" s="456"/>
      <c r="H869" s="455"/>
      <c r="I869" s="351"/>
      <c r="J869" s="433"/>
      <c r="K869" s="546"/>
      <c r="L869" s="351"/>
      <c r="M869" s="456"/>
      <c r="N869" s="353"/>
      <c r="O869" s="433"/>
    </row>
    <row r="870">
      <c r="A870" s="433"/>
      <c r="B870" s="456"/>
      <c r="C870" s="433"/>
      <c r="D870" s="433"/>
      <c r="E870" s="545"/>
      <c r="F870" s="353"/>
      <c r="G870" s="456"/>
      <c r="H870" s="455"/>
      <c r="I870" s="351"/>
      <c r="J870" s="433"/>
      <c r="K870" s="546"/>
      <c r="L870" s="351"/>
      <c r="M870" s="456"/>
      <c r="N870" s="353"/>
      <c r="O870" s="433"/>
    </row>
    <row r="871">
      <c r="A871" s="433"/>
      <c r="B871" s="456"/>
      <c r="C871" s="433"/>
      <c r="D871" s="433"/>
      <c r="E871" s="545"/>
      <c r="F871" s="353"/>
      <c r="G871" s="456"/>
      <c r="H871" s="455"/>
      <c r="I871" s="351"/>
      <c r="J871" s="433"/>
      <c r="K871" s="546"/>
      <c r="L871" s="351"/>
      <c r="M871" s="456"/>
      <c r="N871" s="353"/>
      <c r="O871" s="433"/>
    </row>
    <row r="872">
      <c r="A872" s="433"/>
      <c r="B872" s="456"/>
      <c r="C872" s="433"/>
      <c r="D872" s="433"/>
      <c r="E872" s="545"/>
      <c r="F872" s="353"/>
      <c r="G872" s="456"/>
      <c r="H872" s="455"/>
      <c r="I872" s="351"/>
      <c r="J872" s="433"/>
      <c r="K872" s="546"/>
      <c r="L872" s="351"/>
      <c r="M872" s="456"/>
      <c r="N872" s="353"/>
      <c r="O872" s="433"/>
    </row>
    <row r="873">
      <c r="A873" s="433"/>
      <c r="B873" s="456"/>
      <c r="C873" s="433"/>
      <c r="D873" s="433"/>
      <c r="E873" s="545"/>
      <c r="F873" s="353"/>
      <c r="G873" s="456"/>
      <c r="H873" s="455"/>
      <c r="I873" s="351"/>
      <c r="J873" s="433"/>
      <c r="K873" s="546"/>
      <c r="L873" s="351"/>
      <c r="M873" s="456"/>
      <c r="N873" s="353"/>
      <c r="O873" s="433"/>
    </row>
    <row r="874">
      <c r="A874" s="433"/>
      <c r="B874" s="456"/>
      <c r="C874" s="433"/>
      <c r="D874" s="433"/>
      <c r="E874" s="545"/>
      <c r="F874" s="353"/>
      <c r="G874" s="456"/>
      <c r="H874" s="455"/>
      <c r="I874" s="351"/>
      <c r="J874" s="433"/>
      <c r="K874" s="546"/>
      <c r="L874" s="351"/>
      <c r="M874" s="456"/>
      <c r="N874" s="353"/>
      <c r="O874" s="433"/>
    </row>
    <row r="875">
      <c r="A875" s="433"/>
      <c r="B875" s="456"/>
      <c r="C875" s="433"/>
      <c r="D875" s="433"/>
      <c r="E875" s="545"/>
      <c r="F875" s="353"/>
      <c r="G875" s="456"/>
      <c r="H875" s="455"/>
      <c r="I875" s="351"/>
      <c r="J875" s="433"/>
      <c r="K875" s="546"/>
      <c r="L875" s="351"/>
      <c r="M875" s="456"/>
      <c r="N875" s="353"/>
      <c r="O875" s="433"/>
    </row>
    <row r="876">
      <c r="A876" s="433"/>
      <c r="B876" s="456"/>
      <c r="C876" s="433"/>
      <c r="D876" s="433"/>
      <c r="E876" s="545"/>
      <c r="F876" s="353"/>
      <c r="G876" s="456"/>
      <c r="H876" s="455"/>
      <c r="I876" s="351"/>
      <c r="J876" s="433"/>
      <c r="K876" s="546"/>
      <c r="L876" s="351"/>
      <c r="M876" s="456"/>
      <c r="N876" s="353"/>
      <c r="O876" s="433"/>
    </row>
    <row r="877">
      <c r="A877" s="433"/>
      <c r="B877" s="456"/>
      <c r="C877" s="433"/>
      <c r="D877" s="433"/>
      <c r="E877" s="545"/>
      <c r="F877" s="353"/>
      <c r="G877" s="456"/>
      <c r="H877" s="455"/>
      <c r="I877" s="351"/>
      <c r="J877" s="433"/>
      <c r="K877" s="546"/>
      <c r="L877" s="351"/>
      <c r="M877" s="456"/>
      <c r="N877" s="353"/>
      <c r="O877" s="433"/>
    </row>
    <row r="878">
      <c r="A878" s="433"/>
      <c r="B878" s="456"/>
      <c r="C878" s="433"/>
      <c r="D878" s="433"/>
      <c r="E878" s="545"/>
      <c r="F878" s="353"/>
      <c r="G878" s="456"/>
      <c r="H878" s="455"/>
      <c r="I878" s="351"/>
      <c r="J878" s="433"/>
      <c r="K878" s="546"/>
      <c r="L878" s="351"/>
      <c r="M878" s="456"/>
      <c r="N878" s="353"/>
      <c r="O878" s="433"/>
    </row>
    <row r="879">
      <c r="A879" s="433"/>
      <c r="B879" s="456"/>
      <c r="C879" s="433"/>
      <c r="D879" s="433"/>
      <c r="E879" s="545"/>
      <c r="F879" s="353"/>
      <c r="G879" s="456"/>
      <c r="H879" s="455"/>
      <c r="I879" s="351"/>
      <c r="J879" s="433"/>
      <c r="K879" s="546"/>
      <c r="L879" s="351"/>
      <c r="M879" s="456"/>
      <c r="N879" s="353"/>
      <c r="O879" s="433"/>
    </row>
    <row r="880">
      <c r="A880" s="433"/>
      <c r="B880" s="456"/>
      <c r="C880" s="433"/>
      <c r="D880" s="433"/>
      <c r="E880" s="545"/>
      <c r="F880" s="353"/>
      <c r="G880" s="456"/>
      <c r="H880" s="455"/>
      <c r="I880" s="351"/>
      <c r="J880" s="433"/>
      <c r="K880" s="546"/>
      <c r="L880" s="351"/>
      <c r="M880" s="456"/>
      <c r="N880" s="353"/>
      <c r="O880" s="433"/>
    </row>
    <row r="881">
      <c r="A881" s="433"/>
      <c r="B881" s="456"/>
      <c r="C881" s="433"/>
      <c r="D881" s="433"/>
      <c r="E881" s="545"/>
      <c r="F881" s="353"/>
      <c r="G881" s="456"/>
      <c r="H881" s="455"/>
      <c r="I881" s="351"/>
      <c r="J881" s="433"/>
      <c r="K881" s="546"/>
      <c r="L881" s="351"/>
      <c r="M881" s="456"/>
      <c r="N881" s="353"/>
      <c r="O881" s="433"/>
    </row>
    <row r="882">
      <c r="A882" s="433"/>
      <c r="B882" s="456"/>
      <c r="C882" s="433"/>
      <c r="D882" s="433"/>
      <c r="E882" s="545"/>
      <c r="F882" s="353"/>
      <c r="G882" s="456"/>
      <c r="H882" s="455"/>
      <c r="I882" s="351"/>
      <c r="J882" s="433"/>
      <c r="K882" s="546"/>
      <c r="L882" s="351"/>
      <c r="M882" s="456"/>
      <c r="N882" s="353"/>
      <c r="O882" s="433"/>
    </row>
    <row r="883">
      <c r="A883" s="433"/>
      <c r="B883" s="456"/>
      <c r="C883" s="433"/>
      <c r="D883" s="433"/>
      <c r="E883" s="545"/>
      <c r="F883" s="353"/>
      <c r="G883" s="456"/>
      <c r="H883" s="455"/>
      <c r="I883" s="351"/>
      <c r="J883" s="433"/>
      <c r="K883" s="546"/>
      <c r="L883" s="351"/>
      <c r="M883" s="456"/>
      <c r="N883" s="353"/>
      <c r="O883" s="433"/>
    </row>
    <row r="884">
      <c r="A884" s="433"/>
      <c r="B884" s="456"/>
      <c r="C884" s="433"/>
      <c r="D884" s="433"/>
      <c r="E884" s="545"/>
      <c r="F884" s="353"/>
      <c r="G884" s="456"/>
      <c r="H884" s="455"/>
      <c r="I884" s="351"/>
      <c r="J884" s="433"/>
      <c r="K884" s="546"/>
      <c r="L884" s="351"/>
      <c r="M884" s="456"/>
      <c r="N884" s="353"/>
      <c r="O884" s="433"/>
    </row>
    <row r="885">
      <c r="A885" s="433"/>
      <c r="B885" s="456"/>
      <c r="C885" s="433"/>
      <c r="D885" s="433"/>
      <c r="E885" s="545"/>
      <c r="F885" s="353"/>
      <c r="G885" s="456"/>
      <c r="H885" s="455"/>
      <c r="I885" s="351"/>
      <c r="J885" s="433"/>
      <c r="K885" s="546"/>
      <c r="L885" s="351"/>
      <c r="M885" s="456"/>
      <c r="N885" s="353"/>
      <c r="O885" s="433"/>
    </row>
    <row r="886">
      <c r="A886" s="433"/>
      <c r="B886" s="456"/>
      <c r="C886" s="433"/>
      <c r="D886" s="433"/>
      <c r="E886" s="545"/>
      <c r="F886" s="353"/>
      <c r="G886" s="456"/>
      <c r="H886" s="455"/>
      <c r="I886" s="351"/>
      <c r="J886" s="433"/>
      <c r="K886" s="546"/>
      <c r="L886" s="351"/>
      <c r="M886" s="456"/>
      <c r="N886" s="353"/>
      <c r="O886" s="433"/>
    </row>
    <row r="887">
      <c r="A887" s="433"/>
      <c r="B887" s="456"/>
      <c r="C887" s="433"/>
      <c r="D887" s="433"/>
      <c r="E887" s="545"/>
      <c r="F887" s="353"/>
      <c r="G887" s="456"/>
      <c r="H887" s="455"/>
      <c r="I887" s="351"/>
      <c r="J887" s="433"/>
      <c r="K887" s="546"/>
      <c r="L887" s="351"/>
      <c r="M887" s="456"/>
      <c r="N887" s="353"/>
      <c r="O887" s="433"/>
    </row>
    <row r="888">
      <c r="A888" s="433"/>
      <c r="B888" s="456"/>
      <c r="C888" s="433"/>
      <c r="D888" s="433"/>
      <c r="E888" s="545"/>
      <c r="F888" s="353"/>
      <c r="G888" s="456"/>
      <c r="H888" s="455"/>
      <c r="I888" s="351"/>
      <c r="J888" s="433"/>
      <c r="K888" s="546"/>
      <c r="L888" s="351"/>
      <c r="M888" s="456"/>
      <c r="N888" s="353"/>
      <c r="O888" s="433"/>
    </row>
    <row r="889">
      <c r="A889" s="433"/>
      <c r="B889" s="456"/>
      <c r="C889" s="433"/>
      <c r="D889" s="433"/>
      <c r="E889" s="545"/>
      <c r="F889" s="353"/>
      <c r="G889" s="456"/>
      <c r="H889" s="455"/>
      <c r="I889" s="351"/>
      <c r="J889" s="433"/>
      <c r="K889" s="546"/>
      <c r="L889" s="351"/>
      <c r="M889" s="456"/>
      <c r="N889" s="353"/>
      <c r="O889" s="433"/>
    </row>
    <row r="890">
      <c r="A890" s="433"/>
      <c r="B890" s="456"/>
      <c r="C890" s="433"/>
      <c r="D890" s="433"/>
      <c r="E890" s="545"/>
      <c r="F890" s="353"/>
      <c r="G890" s="456"/>
      <c r="H890" s="455"/>
      <c r="I890" s="351"/>
      <c r="J890" s="433"/>
      <c r="K890" s="546"/>
      <c r="L890" s="351"/>
      <c r="M890" s="456"/>
      <c r="N890" s="353"/>
      <c r="O890" s="433"/>
    </row>
    <row r="891">
      <c r="A891" s="433"/>
      <c r="B891" s="456"/>
      <c r="C891" s="433"/>
      <c r="D891" s="433"/>
      <c r="E891" s="545"/>
      <c r="F891" s="353"/>
      <c r="G891" s="456"/>
      <c r="H891" s="455"/>
      <c r="I891" s="351"/>
      <c r="J891" s="433"/>
      <c r="K891" s="546"/>
      <c r="L891" s="351"/>
      <c r="M891" s="456"/>
      <c r="N891" s="353"/>
      <c r="O891" s="433"/>
    </row>
    <row r="892">
      <c r="A892" s="433"/>
      <c r="B892" s="456"/>
      <c r="C892" s="433"/>
      <c r="D892" s="433"/>
      <c r="E892" s="545"/>
      <c r="F892" s="353"/>
      <c r="G892" s="456"/>
      <c r="H892" s="455"/>
      <c r="I892" s="351"/>
      <c r="J892" s="433"/>
      <c r="K892" s="546"/>
      <c r="L892" s="351"/>
      <c r="M892" s="456"/>
      <c r="N892" s="353"/>
      <c r="O892" s="433"/>
    </row>
    <row r="893">
      <c r="A893" s="433"/>
      <c r="B893" s="456"/>
      <c r="C893" s="433"/>
      <c r="D893" s="433"/>
      <c r="E893" s="545"/>
      <c r="F893" s="353"/>
      <c r="G893" s="456"/>
      <c r="H893" s="455"/>
      <c r="I893" s="351"/>
      <c r="J893" s="433"/>
      <c r="K893" s="546"/>
      <c r="L893" s="351"/>
      <c r="M893" s="456"/>
      <c r="N893" s="353"/>
      <c r="O893" s="433"/>
    </row>
    <row r="894">
      <c r="A894" s="433"/>
      <c r="B894" s="456"/>
      <c r="C894" s="433"/>
      <c r="D894" s="433"/>
      <c r="E894" s="545"/>
      <c r="F894" s="353"/>
      <c r="G894" s="456"/>
      <c r="H894" s="455"/>
      <c r="I894" s="351"/>
      <c r="J894" s="433"/>
      <c r="K894" s="546"/>
      <c r="L894" s="351"/>
      <c r="M894" s="456"/>
      <c r="N894" s="353"/>
      <c r="O894" s="433"/>
    </row>
    <row r="895">
      <c r="A895" s="433"/>
      <c r="B895" s="456"/>
      <c r="C895" s="433"/>
      <c r="D895" s="433"/>
      <c r="E895" s="545"/>
      <c r="F895" s="353"/>
      <c r="G895" s="456"/>
      <c r="H895" s="455"/>
      <c r="I895" s="351"/>
      <c r="J895" s="433"/>
      <c r="K895" s="546"/>
      <c r="L895" s="351"/>
      <c r="M895" s="456"/>
      <c r="N895" s="353"/>
      <c r="O895" s="433"/>
    </row>
    <row r="896">
      <c r="A896" s="433"/>
      <c r="B896" s="456"/>
      <c r="C896" s="433"/>
      <c r="D896" s="433"/>
      <c r="E896" s="545"/>
      <c r="F896" s="353"/>
      <c r="G896" s="456"/>
      <c r="H896" s="455"/>
      <c r="I896" s="351"/>
      <c r="J896" s="433"/>
      <c r="K896" s="546"/>
      <c r="L896" s="351"/>
      <c r="M896" s="456"/>
      <c r="N896" s="353"/>
      <c r="O896" s="433"/>
    </row>
    <row r="897">
      <c r="A897" s="433"/>
      <c r="B897" s="456"/>
      <c r="C897" s="433"/>
      <c r="D897" s="433"/>
      <c r="E897" s="545"/>
      <c r="F897" s="353"/>
      <c r="G897" s="456"/>
      <c r="H897" s="455"/>
      <c r="I897" s="351"/>
      <c r="J897" s="433"/>
      <c r="K897" s="546"/>
      <c r="L897" s="351"/>
      <c r="M897" s="456"/>
      <c r="N897" s="353"/>
      <c r="O897" s="433"/>
    </row>
    <row r="898">
      <c r="A898" s="433"/>
      <c r="B898" s="456"/>
      <c r="C898" s="433"/>
      <c r="D898" s="433"/>
      <c r="E898" s="545"/>
      <c r="F898" s="353"/>
      <c r="G898" s="456"/>
      <c r="H898" s="455"/>
      <c r="I898" s="351"/>
      <c r="J898" s="433"/>
      <c r="K898" s="546"/>
      <c r="L898" s="351"/>
      <c r="M898" s="456"/>
      <c r="N898" s="353"/>
      <c r="O898" s="433"/>
    </row>
    <row r="899">
      <c r="A899" s="433"/>
      <c r="B899" s="456"/>
      <c r="C899" s="433"/>
      <c r="D899" s="433"/>
      <c r="E899" s="545"/>
      <c r="F899" s="353"/>
      <c r="G899" s="456"/>
      <c r="H899" s="455"/>
      <c r="I899" s="351"/>
      <c r="J899" s="433"/>
      <c r="K899" s="546"/>
      <c r="L899" s="351"/>
      <c r="M899" s="456"/>
      <c r="N899" s="353"/>
      <c r="O899" s="433"/>
    </row>
    <row r="900">
      <c r="A900" s="433"/>
      <c r="B900" s="456"/>
      <c r="C900" s="433"/>
      <c r="D900" s="433"/>
      <c r="E900" s="545"/>
      <c r="F900" s="353"/>
      <c r="G900" s="456"/>
      <c r="H900" s="455"/>
      <c r="I900" s="351"/>
      <c r="J900" s="433"/>
      <c r="K900" s="546"/>
      <c r="L900" s="351"/>
      <c r="M900" s="456"/>
      <c r="N900" s="353"/>
      <c r="O900" s="433"/>
    </row>
    <row r="901">
      <c r="A901" s="433"/>
      <c r="B901" s="456"/>
      <c r="C901" s="433"/>
      <c r="D901" s="433"/>
      <c r="E901" s="545"/>
      <c r="F901" s="353"/>
      <c r="G901" s="456"/>
      <c r="H901" s="455"/>
      <c r="I901" s="351"/>
      <c r="J901" s="433"/>
      <c r="K901" s="546"/>
      <c r="L901" s="351"/>
      <c r="M901" s="456"/>
      <c r="N901" s="353"/>
      <c r="O901" s="433"/>
    </row>
    <row r="902">
      <c r="A902" s="433"/>
      <c r="B902" s="456"/>
      <c r="C902" s="433"/>
      <c r="D902" s="433"/>
      <c r="E902" s="545"/>
      <c r="F902" s="353"/>
      <c r="G902" s="456"/>
      <c r="H902" s="455"/>
      <c r="I902" s="351"/>
      <c r="J902" s="433"/>
      <c r="K902" s="546"/>
      <c r="L902" s="351"/>
      <c r="M902" s="456"/>
      <c r="N902" s="353"/>
      <c r="O902" s="433"/>
    </row>
    <row r="903">
      <c r="A903" s="433"/>
      <c r="B903" s="456"/>
      <c r="C903" s="433"/>
      <c r="D903" s="433"/>
      <c r="E903" s="545"/>
      <c r="F903" s="353"/>
      <c r="G903" s="456"/>
      <c r="H903" s="455"/>
      <c r="I903" s="351"/>
      <c r="J903" s="433"/>
      <c r="K903" s="546"/>
      <c r="L903" s="351"/>
      <c r="M903" s="456"/>
      <c r="N903" s="353"/>
      <c r="O903" s="433"/>
    </row>
    <row r="904">
      <c r="A904" s="433"/>
      <c r="B904" s="456"/>
      <c r="C904" s="433"/>
      <c r="D904" s="433"/>
      <c r="E904" s="545"/>
      <c r="F904" s="353"/>
      <c r="G904" s="456"/>
      <c r="H904" s="455"/>
      <c r="I904" s="351"/>
      <c r="J904" s="433"/>
      <c r="K904" s="546"/>
      <c r="L904" s="351"/>
      <c r="M904" s="456"/>
      <c r="N904" s="353"/>
      <c r="O904" s="433"/>
    </row>
    <row r="905">
      <c r="A905" s="433"/>
      <c r="B905" s="456"/>
      <c r="C905" s="433"/>
      <c r="D905" s="433"/>
      <c r="E905" s="545"/>
      <c r="F905" s="353"/>
      <c r="G905" s="456"/>
      <c r="H905" s="455"/>
      <c r="I905" s="351"/>
      <c r="J905" s="433"/>
      <c r="K905" s="546"/>
      <c r="L905" s="351"/>
      <c r="M905" s="456"/>
      <c r="N905" s="353"/>
      <c r="O905" s="433"/>
    </row>
    <row r="906">
      <c r="A906" s="433"/>
      <c r="B906" s="456"/>
      <c r="C906" s="433"/>
      <c r="D906" s="433"/>
      <c r="E906" s="545"/>
      <c r="F906" s="353"/>
      <c r="G906" s="456"/>
      <c r="H906" s="455"/>
      <c r="I906" s="351"/>
      <c r="J906" s="433"/>
      <c r="K906" s="546"/>
      <c r="L906" s="351"/>
      <c r="M906" s="456"/>
      <c r="N906" s="353"/>
      <c r="O906" s="433"/>
    </row>
    <row r="907">
      <c r="A907" s="433"/>
      <c r="B907" s="456"/>
      <c r="C907" s="433"/>
      <c r="D907" s="433"/>
      <c r="E907" s="545"/>
      <c r="F907" s="353"/>
      <c r="G907" s="456"/>
      <c r="H907" s="455"/>
      <c r="I907" s="351"/>
      <c r="J907" s="433"/>
      <c r="K907" s="546"/>
      <c r="L907" s="351"/>
      <c r="M907" s="456"/>
      <c r="N907" s="353"/>
      <c r="O907" s="433"/>
    </row>
    <row r="908">
      <c r="A908" s="433"/>
      <c r="B908" s="456"/>
      <c r="C908" s="433"/>
      <c r="D908" s="433"/>
      <c r="E908" s="545"/>
      <c r="F908" s="353"/>
      <c r="G908" s="456"/>
      <c r="H908" s="455"/>
      <c r="I908" s="351"/>
      <c r="J908" s="433"/>
      <c r="K908" s="546"/>
      <c r="L908" s="351"/>
      <c r="M908" s="456"/>
      <c r="N908" s="353"/>
      <c r="O908" s="433"/>
    </row>
    <row r="909">
      <c r="A909" s="433"/>
      <c r="B909" s="456"/>
      <c r="C909" s="433"/>
      <c r="D909" s="433"/>
      <c r="E909" s="545"/>
      <c r="F909" s="353"/>
      <c r="G909" s="456"/>
      <c r="H909" s="455"/>
      <c r="I909" s="351"/>
      <c r="J909" s="433"/>
      <c r="K909" s="546"/>
      <c r="L909" s="351"/>
      <c r="M909" s="456"/>
      <c r="N909" s="353"/>
      <c r="O909" s="433"/>
    </row>
    <row r="910">
      <c r="A910" s="433"/>
      <c r="B910" s="456"/>
      <c r="C910" s="433"/>
      <c r="D910" s="433"/>
      <c r="E910" s="545"/>
      <c r="F910" s="353"/>
      <c r="G910" s="456"/>
      <c r="H910" s="455"/>
      <c r="I910" s="351"/>
      <c r="J910" s="433"/>
      <c r="K910" s="546"/>
      <c r="L910" s="351"/>
      <c r="M910" s="456"/>
      <c r="N910" s="353"/>
      <c r="O910" s="433"/>
    </row>
    <row r="911">
      <c r="A911" s="433"/>
      <c r="B911" s="456"/>
      <c r="C911" s="433"/>
      <c r="D911" s="433"/>
      <c r="E911" s="545"/>
      <c r="F911" s="353"/>
      <c r="G911" s="456"/>
      <c r="H911" s="455"/>
      <c r="I911" s="351"/>
      <c r="J911" s="433"/>
      <c r="K911" s="546"/>
      <c r="L911" s="351"/>
      <c r="M911" s="456"/>
      <c r="N911" s="353"/>
      <c r="O911" s="433"/>
    </row>
    <row r="912">
      <c r="A912" s="433"/>
      <c r="B912" s="456"/>
      <c r="C912" s="433"/>
      <c r="D912" s="433"/>
      <c r="E912" s="545"/>
      <c r="F912" s="353"/>
      <c r="G912" s="456"/>
      <c r="H912" s="455"/>
      <c r="I912" s="351"/>
      <c r="J912" s="433"/>
      <c r="K912" s="546"/>
      <c r="L912" s="351"/>
      <c r="M912" s="456"/>
      <c r="N912" s="353"/>
      <c r="O912" s="433"/>
    </row>
    <row r="913">
      <c r="A913" s="433"/>
      <c r="B913" s="456"/>
      <c r="C913" s="433"/>
      <c r="D913" s="433"/>
      <c r="E913" s="545"/>
      <c r="F913" s="353"/>
      <c r="G913" s="456"/>
      <c r="H913" s="455"/>
      <c r="I913" s="351"/>
      <c r="J913" s="433"/>
      <c r="K913" s="546"/>
      <c r="L913" s="351"/>
      <c r="M913" s="456"/>
      <c r="N913" s="353"/>
      <c r="O913" s="433"/>
    </row>
    <row r="914">
      <c r="A914" s="433"/>
      <c r="B914" s="456"/>
      <c r="C914" s="433"/>
      <c r="D914" s="433"/>
      <c r="E914" s="545"/>
      <c r="F914" s="353"/>
      <c r="G914" s="456"/>
      <c r="H914" s="455"/>
      <c r="I914" s="351"/>
      <c r="J914" s="433"/>
      <c r="K914" s="546"/>
      <c r="L914" s="351"/>
      <c r="M914" s="456"/>
      <c r="N914" s="353"/>
      <c r="O914" s="433"/>
    </row>
    <row r="915">
      <c r="A915" s="433"/>
      <c r="B915" s="456"/>
      <c r="C915" s="433"/>
      <c r="D915" s="433"/>
      <c r="E915" s="545"/>
      <c r="F915" s="353"/>
      <c r="G915" s="456"/>
      <c r="H915" s="455"/>
      <c r="I915" s="351"/>
      <c r="J915" s="433"/>
      <c r="K915" s="546"/>
      <c r="L915" s="351"/>
      <c r="M915" s="456"/>
      <c r="N915" s="353"/>
      <c r="O915" s="433"/>
    </row>
    <row r="916">
      <c r="A916" s="433"/>
      <c r="B916" s="456"/>
      <c r="C916" s="433"/>
      <c r="D916" s="433"/>
      <c r="E916" s="545"/>
      <c r="F916" s="353"/>
      <c r="G916" s="456"/>
      <c r="H916" s="455"/>
      <c r="I916" s="351"/>
      <c r="J916" s="433"/>
      <c r="K916" s="546"/>
      <c r="L916" s="351"/>
      <c r="M916" s="456"/>
      <c r="N916" s="353"/>
      <c r="O916" s="433"/>
    </row>
    <row r="917">
      <c r="A917" s="433"/>
      <c r="B917" s="456"/>
      <c r="C917" s="433"/>
      <c r="D917" s="433"/>
      <c r="E917" s="545"/>
      <c r="F917" s="353"/>
      <c r="G917" s="456"/>
      <c r="H917" s="455"/>
      <c r="I917" s="351"/>
      <c r="J917" s="433"/>
      <c r="K917" s="546"/>
      <c r="L917" s="351"/>
      <c r="M917" s="456"/>
      <c r="N917" s="353"/>
      <c r="O917" s="433"/>
    </row>
    <row r="918">
      <c r="A918" s="433"/>
      <c r="B918" s="456"/>
      <c r="C918" s="433"/>
      <c r="D918" s="433"/>
      <c r="E918" s="545"/>
      <c r="F918" s="353"/>
      <c r="G918" s="456"/>
      <c r="H918" s="455"/>
      <c r="I918" s="351"/>
      <c r="J918" s="433"/>
      <c r="K918" s="546"/>
      <c r="L918" s="351"/>
      <c r="M918" s="456"/>
      <c r="N918" s="353"/>
      <c r="O918" s="433"/>
    </row>
    <row r="919">
      <c r="A919" s="433"/>
      <c r="B919" s="456"/>
      <c r="C919" s="433"/>
      <c r="D919" s="433"/>
      <c r="E919" s="545"/>
      <c r="F919" s="353"/>
      <c r="G919" s="456"/>
      <c r="H919" s="455"/>
      <c r="I919" s="351"/>
      <c r="J919" s="433"/>
      <c r="K919" s="546"/>
      <c r="L919" s="351"/>
      <c r="M919" s="456"/>
      <c r="N919" s="353"/>
      <c r="O919" s="433"/>
    </row>
    <row r="920">
      <c r="A920" s="433"/>
      <c r="B920" s="456"/>
      <c r="C920" s="433"/>
      <c r="D920" s="433"/>
      <c r="E920" s="545"/>
      <c r="F920" s="353"/>
      <c r="G920" s="456"/>
      <c r="H920" s="455"/>
      <c r="I920" s="351"/>
      <c r="J920" s="433"/>
      <c r="K920" s="546"/>
      <c r="L920" s="351"/>
      <c r="M920" s="456"/>
      <c r="N920" s="353"/>
      <c r="O920" s="433"/>
    </row>
    <row r="921">
      <c r="A921" s="433"/>
      <c r="B921" s="456"/>
      <c r="C921" s="433"/>
      <c r="D921" s="433"/>
      <c r="E921" s="545"/>
      <c r="F921" s="353"/>
      <c r="G921" s="456"/>
      <c r="H921" s="455"/>
      <c r="I921" s="351"/>
      <c r="J921" s="433"/>
      <c r="K921" s="546"/>
      <c r="L921" s="351"/>
      <c r="M921" s="456"/>
      <c r="N921" s="353"/>
      <c r="O921" s="433"/>
    </row>
    <row r="922">
      <c r="A922" s="433"/>
      <c r="B922" s="456"/>
      <c r="C922" s="433"/>
      <c r="D922" s="433"/>
      <c r="E922" s="545"/>
      <c r="F922" s="353"/>
      <c r="G922" s="456"/>
      <c r="H922" s="455"/>
      <c r="I922" s="351"/>
      <c r="J922" s="433"/>
      <c r="K922" s="546"/>
      <c r="L922" s="351"/>
      <c r="M922" s="456"/>
      <c r="N922" s="353"/>
      <c r="O922" s="433"/>
    </row>
    <row r="923">
      <c r="A923" s="433"/>
      <c r="B923" s="456"/>
      <c r="C923" s="433"/>
      <c r="D923" s="433"/>
      <c r="E923" s="545"/>
      <c r="F923" s="353"/>
      <c r="G923" s="456"/>
      <c r="H923" s="455"/>
      <c r="I923" s="351"/>
      <c r="J923" s="433"/>
      <c r="K923" s="546"/>
      <c r="L923" s="351"/>
      <c r="M923" s="456"/>
      <c r="N923" s="353"/>
      <c r="O923" s="433"/>
    </row>
    <row r="924">
      <c r="A924" s="433"/>
      <c r="B924" s="456"/>
      <c r="C924" s="433"/>
      <c r="D924" s="433"/>
      <c r="E924" s="545"/>
      <c r="F924" s="353"/>
      <c r="G924" s="456"/>
      <c r="H924" s="455"/>
      <c r="I924" s="351"/>
      <c r="J924" s="433"/>
      <c r="K924" s="546"/>
      <c r="L924" s="351"/>
      <c r="M924" s="456"/>
      <c r="N924" s="353"/>
      <c r="O924" s="433"/>
    </row>
    <row r="925">
      <c r="A925" s="433"/>
      <c r="B925" s="456"/>
      <c r="C925" s="433"/>
      <c r="D925" s="433"/>
      <c r="E925" s="545"/>
      <c r="F925" s="353"/>
      <c r="G925" s="456"/>
      <c r="H925" s="455"/>
      <c r="I925" s="351"/>
      <c r="J925" s="433"/>
      <c r="K925" s="546"/>
      <c r="L925" s="351"/>
      <c r="M925" s="456"/>
      <c r="N925" s="353"/>
      <c r="O925" s="433"/>
    </row>
    <row r="926">
      <c r="A926" s="433"/>
      <c r="B926" s="456"/>
      <c r="C926" s="433"/>
      <c r="D926" s="433"/>
      <c r="E926" s="545"/>
      <c r="F926" s="353"/>
      <c r="G926" s="456"/>
      <c r="H926" s="455"/>
      <c r="I926" s="351"/>
      <c r="J926" s="433"/>
      <c r="K926" s="546"/>
      <c r="L926" s="351"/>
      <c r="M926" s="456"/>
      <c r="N926" s="353"/>
      <c r="O926" s="433"/>
    </row>
    <row r="927">
      <c r="A927" s="433"/>
      <c r="B927" s="456"/>
      <c r="C927" s="433"/>
      <c r="D927" s="433"/>
      <c r="E927" s="545"/>
      <c r="F927" s="353"/>
      <c r="G927" s="456"/>
      <c r="H927" s="455"/>
      <c r="I927" s="351"/>
      <c r="J927" s="433"/>
      <c r="K927" s="546"/>
      <c r="L927" s="351"/>
      <c r="M927" s="456"/>
      <c r="N927" s="353"/>
      <c r="O927" s="433"/>
    </row>
    <row r="928">
      <c r="A928" s="433"/>
      <c r="B928" s="456"/>
      <c r="C928" s="433"/>
      <c r="D928" s="433"/>
      <c r="E928" s="545"/>
      <c r="F928" s="353"/>
      <c r="G928" s="456"/>
      <c r="H928" s="455"/>
      <c r="I928" s="351"/>
      <c r="J928" s="433"/>
      <c r="K928" s="546"/>
      <c r="L928" s="351"/>
      <c r="M928" s="456"/>
      <c r="N928" s="353"/>
      <c r="O928" s="433"/>
    </row>
    <row r="929">
      <c r="A929" s="433"/>
      <c r="B929" s="456"/>
      <c r="C929" s="433"/>
      <c r="D929" s="433"/>
      <c r="E929" s="545"/>
      <c r="F929" s="353"/>
      <c r="G929" s="456"/>
      <c r="H929" s="455"/>
      <c r="I929" s="351"/>
      <c r="J929" s="433"/>
      <c r="K929" s="546"/>
      <c r="L929" s="351"/>
      <c r="M929" s="456"/>
      <c r="N929" s="353"/>
      <c r="O929" s="433"/>
    </row>
    <row r="930">
      <c r="A930" s="433"/>
      <c r="B930" s="456"/>
      <c r="C930" s="433"/>
      <c r="D930" s="433"/>
      <c r="E930" s="545"/>
      <c r="F930" s="353"/>
      <c r="G930" s="456"/>
      <c r="H930" s="455"/>
      <c r="I930" s="351"/>
      <c r="J930" s="433"/>
      <c r="K930" s="546"/>
      <c r="L930" s="351"/>
      <c r="M930" s="456"/>
      <c r="N930" s="353"/>
      <c r="O930" s="433"/>
    </row>
    <row r="931">
      <c r="A931" s="433"/>
      <c r="B931" s="456"/>
      <c r="C931" s="433"/>
      <c r="D931" s="433"/>
      <c r="E931" s="545"/>
      <c r="F931" s="353"/>
      <c r="G931" s="456"/>
      <c r="H931" s="455"/>
      <c r="I931" s="351"/>
      <c r="J931" s="433"/>
      <c r="K931" s="546"/>
      <c r="L931" s="351"/>
      <c r="M931" s="456"/>
      <c r="N931" s="353"/>
      <c r="O931" s="433"/>
    </row>
    <row r="932">
      <c r="A932" s="433"/>
      <c r="B932" s="456"/>
      <c r="C932" s="433"/>
      <c r="D932" s="433"/>
      <c r="E932" s="545"/>
      <c r="F932" s="353"/>
      <c r="G932" s="456"/>
      <c r="H932" s="455"/>
      <c r="I932" s="351"/>
      <c r="J932" s="433"/>
      <c r="K932" s="546"/>
      <c r="L932" s="351"/>
      <c r="M932" s="456"/>
      <c r="N932" s="353"/>
      <c r="O932" s="433"/>
    </row>
    <row r="933">
      <c r="A933" s="433"/>
      <c r="B933" s="456"/>
      <c r="C933" s="433"/>
      <c r="D933" s="433"/>
      <c r="E933" s="545"/>
      <c r="F933" s="353"/>
      <c r="G933" s="456"/>
      <c r="H933" s="455"/>
      <c r="I933" s="351"/>
      <c r="J933" s="433"/>
      <c r="K933" s="546"/>
      <c r="L933" s="351"/>
      <c r="M933" s="456"/>
      <c r="N933" s="353"/>
      <c r="O933" s="433"/>
    </row>
    <row r="934">
      <c r="A934" s="433"/>
      <c r="B934" s="456"/>
      <c r="C934" s="433"/>
      <c r="D934" s="433"/>
      <c r="E934" s="545"/>
      <c r="F934" s="353"/>
      <c r="G934" s="456"/>
      <c r="H934" s="455"/>
      <c r="I934" s="351"/>
      <c r="J934" s="433"/>
      <c r="K934" s="546"/>
      <c r="L934" s="351"/>
      <c r="M934" s="456"/>
      <c r="N934" s="353"/>
      <c r="O934" s="433"/>
    </row>
    <row r="935">
      <c r="A935" s="433"/>
      <c r="B935" s="456"/>
      <c r="C935" s="433"/>
      <c r="D935" s="433"/>
      <c r="E935" s="545"/>
      <c r="F935" s="353"/>
      <c r="G935" s="456"/>
      <c r="H935" s="455"/>
      <c r="I935" s="351"/>
      <c r="J935" s="433"/>
      <c r="K935" s="546"/>
      <c r="L935" s="351"/>
      <c r="M935" s="456"/>
      <c r="N935" s="353"/>
      <c r="O935" s="433"/>
    </row>
    <row r="936">
      <c r="A936" s="433"/>
      <c r="B936" s="456"/>
      <c r="C936" s="433"/>
      <c r="D936" s="433"/>
      <c r="E936" s="545"/>
      <c r="F936" s="353"/>
      <c r="G936" s="456"/>
      <c r="H936" s="455"/>
      <c r="I936" s="351"/>
      <c r="J936" s="433"/>
      <c r="K936" s="546"/>
      <c r="L936" s="351"/>
      <c r="M936" s="456"/>
      <c r="N936" s="353"/>
      <c r="O936" s="433"/>
    </row>
    <row r="937">
      <c r="A937" s="433"/>
      <c r="B937" s="456"/>
      <c r="C937" s="433"/>
      <c r="D937" s="433"/>
      <c r="E937" s="545"/>
      <c r="F937" s="353"/>
      <c r="G937" s="456"/>
      <c r="H937" s="455"/>
      <c r="I937" s="351"/>
      <c r="J937" s="433"/>
      <c r="K937" s="546"/>
      <c r="L937" s="351"/>
      <c r="M937" s="456"/>
      <c r="N937" s="353"/>
      <c r="O937" s="433"/>
    </row>
    <row r="938">
      <c r="A938" s="433"/>
      <c r="B938" s="456"/>
      <c r="C938" s="433"/>
      <c r="D938" s="433"/>
      <c r="E938" s="545"/>
      <c r="F938" s="353"/>
      <c r="G938" s="456"/>
      <c r="H938" s="455"/>
      <c r="I938" s="351"/>
      <c r="J938" s="433"/>
      <c r="K938" s="546"/>
      <c r="L938" s="351"/>
      <c r="M938" s="456"/>
      <c r="N938" s="353"/>
      <c r="O938" s="433"/>
    </row>
    <row r="939">
      <c r="A939" s="433"/>
      <c r="B939" s="456"/>
      <c r="C939" s="433"/>
      <c r="D939" s="433"/>
      <c r="E939" s="545"/>
      <c r="F939" s="353"/>
      <c r="G939" s="456"/>
      <c r="H939" s="455"/>
      <c r="I939" s="351"/>
      <c r="J939" s="433"/>
      <c r="K939" s="546"/>
      <c r="L939" s="351"/>
      <c r="M939" s="456"/>
      <c r="N939" s="353"/>
      <c r="O939" s="433"/>
    </row>
    <row r="940">
      <c r="A940" s="433"/>
      <c r="B940" s="456"/>
      <c r="C940" s="433"/>
      <c r="D940" s="433"/>
      <c r="E940" s="545"/>
      <c r="F940" s="353"/>
      <c r="G940" s="456"/>
      <c r="H940" s="455"/>
      <c r="I940" s="351"/>
      <c r="J940" s="433"/>
      <c r="K940" s="546"/>
      <c r="L940" s="351"/>
      <c r="M940" s="456"/>
      <c r="N940" s="353"/>
      <c r="O940" s="433"/>
    </row>
    <row r="941">
      <c r="A941" s="433"/>
      <c r="B941" s="456"/>
      <c r="C941" s="433"/>
      <c r="D941" s="433"/>
      <c r="E941" s="545"/>
      <c r="F941" s="353"/>
      <c r="G941" s="456"/>
      <c r="H941" s="455"/>
      <c r="I941" s="351"/>
      <c r="J941" s="433"/>
      <c r="K941" s="546"/>
      <c r="L941" s="351"/>
      <c r="M941" s="456"/>
      <c r="N941" s="353"/>
      <c r="O941" s="433"/>
    </row>
    <row r="942">
      <c r="A942" s="433"/>
      <c r="B942" s="456"/>
      <c r="C942" s="433"/>
      <c r="D942" s="433"/>
      <c r="E942" s="545"/>
      <c r="F942" s="353"/>
      <c r="G942" s="456"/>
      <c r="H942" s="455"/>
      <c r="I942" s="351"/>
      <c r="J942" s="433"/>
      <c r="K942" s="546"/>
      <c r="L942" s="351"/>
      <c r="M942" s="456"/>
      <c r="N942" s="353"/>
      <c r="O942" s="433"/>
    </row>
    <row r="943">
      <c r="A943" s="433"/>
      <c r="B943" s="456"/>
      <c r="C943" s="433"/>
      <c r="D943" s="433"/>
      <c r="E943" s="545"/>
      <c r="F943" s="353"/>
      <c r="G943" s="456"/>
      <c r="H943" s="455"/>
      <c r="I943" s="351"/>
      <c r="J943" s="433"/>
      <c r="K943" s="546"/>
      <c r="L943" s="351"/>
      <c r="M943" s="456"/>
      <c r="N943" s="353"/>
      <c r="O943" s="433"/>
    </row>
    <row r="944">
      <c r="A944" s="433"/>
      <c r="B944" s="456"/>
      <c r="C944" s="433"/>
      <c r="D944" s="433"/>
      <c r="E944" s="545"/>
      <c r="F944" s="353"/>
      <c r="G944" s="456"/>
      <c r="H944" s="455"/>
      <c r="I944" s="351"/>
      <c r="J944" s="433"/>
      <c r="K944" s="546"/>
      <c r="L944" s="351"/>
      <c r="M944" s="456"/>
      <c r="N944" s="353"/>
      <c r="O944" s="433"/>
    </row>
    <row r="945">
      <c r="A945" s="433"/>
      <c r="B945" s="456"/>
      <c r="C945" s="433"/>
      <c r="D945" s="433"/>
      <c r="E945" s="545"/>
      <c r="F945" s="353"/>
      <c r="G945" s="456"/>
      <c r="H945" s="455"/>
      <c r="I945" s="351"/>
      <c r="J945" s="433"/>
      <c r="K945" s="546"/>
      <c r="L945" s="351"/>
      <c r="M945" s="456"/>
      <c r="N945" s="353"/>
      <c r="O945" s="433"/>
    </row>
    <row r="946">
      <c r="A946" s="433"/>
      <c r="B946" s="456"/>
      <c r="C946" s="433"/>
      <c r="D946" s="433"/>
      <c r="E946" s="545"/>
      <c r="F946" s="353"/>
      <c r="G946" s="456"/>
      <c r="H946" s="455"/>
      <c r="I946" s="351"/>
      <c r="J946" s="433"/>
      <c r="K946" s="546"/>
      <c r="L946" s="351"/>
      <c r="M946" s="456"/>
      <c r="N946" s="353"/>
      <c r="O946" s="433"/>
    </row>
    <row r="947">
      <c r="A947" s="433"/>
      <c r="B947" s="456"/>
      <c r="C947" s="433"/>
      <c r="D947" s="433"/>
      <c r="E947" s="545"/>
      <c r="F947" s="353"/>
      <c r="G947" s="456"/>
      <c r="H947" s="455"/>
      <c r="I947" s="351"/>
      <c r="J947" s="433"/>
      <c r="K947" s="546"/>
      <c r="L947" s="351"/>
      <c r="M947" s="456"/>
      <c r="N947" s="353"/>
      <c r="O947" s="433"/>
    </row>
    <row r="948">
      <c r="A948" s="433"/>
      <c r="B948" s="456"/>
      <c r="C948" s="433"/>
      <c r="D948" s="433"/>
      <c r="E948" s="545"/>
      <c r="F948" s="353"/>
      <c r="G948" s="456"/>
      <c r="H948" s="455"/>
      <c r="I948" s="351"/>
      <c r="J948" s="433"/>
      <c r="K948" s="546"/>
      <c r="L948" s="351"/>
      <c r="M948" s="456"/>
      <c r="N948" s="353"/>
      <c r="O948" s="433"/>
    </row>
    <row r="949">
      <c r="A949" s="433"/>
      <c r="B949" s="456"/>
      <c r="C949" s="433"/>
      <c r="D949" s="433"/>
      <c r="E949" s="545"/>
      <c r="F949" s="353"/>
      <c r="G949" s="456"/>
      <c r="H949" s="455"/>
      <c r="I949" s="351"/>
      <c r="J949" s="433"/>
      <c r="K949" s="546"/>
      <c r="L949" s="351"/>
      <c r="M949" s="456"/>
      <c r="N949" s="353"/>
      <c r="O949" s="433"/>
    </row>
    <row r="950">
      <c r="A950" s="433"/>
      <c r="B950" s="456"/>
      <c r="C950" s="433"/>
      <c r="D950" s="433"/>
      <c r="E950" s="545"/>
      <c r="F950" s="353"/>
      <c r="G950" s="456"/>
      <c r="H950" s="455"/>
      <c r="I950" s="351"/>
      <c r="J950" s="433"/>
      <c r="K950" s="546"/>
      <c r="L950" s="351"/>
      <c r="M950" s="456"/>
      <c r="N950" s="353"/>
      <c r="O950" s="433"/>
    </row>
    <row r="951">
      <c r="A951" s="433"/>
      <c r="B951" s="456"/>
      <c r="C951" s="433"/>
      <c r="D951" s="433"/>
      <c r="E951" s="545"/>
      <c r="F951" s="353"/>
      <c r="G951" s="456"/>
      <c r="H951" s="455"/>
      <c r="I951" s="351"/>
      <c r="J951" s="433"/>
      <c r="K951" s="546"/>
      <c r="L951" s="351"/>
      <c r="M951" s="456"/>
      <c r="N951" s="353"/>
      <c r="O951" s="433"/>
    </row>
    <row r="952">
      <c r="A952" s="433"/>
      <c r="B952" s="456"/>
      <c r="C952" s="433"/>
      <c r="D952" s="433"/>
      <c r="E952" s="545"/>
      <c r="F952" s="353"/>
      <c r="G952" s="456"/>
      <c r="H952" s="455"/>
      <c r="I952" s="351"/>
      <c r="J952" s="433"/>
      <c r="K952" s="546"/>
      <c r="L952" s="351"/>
      <c r="M952" s="456"/>
      <c r="N952" s="353"/>
      <c r="O952" s="433"/>
    </row>
    <row r="953">
      <c r="A953" s="433"/>
      <c r="B953" s="456"/>
      <c r="C953" s="433"/>
      <c r="D953" s="433"/>
      <c r="E953" s="545"/>
      <c r="F953" s="353"/>
      <c r="G953" s="456"/>
      <c r="H953" s="455"/>
      <c r="I953" s="351"/>
      <c r="J953" s="433"/>
      <c r="K953" s="546"/>
      <c r="L953" s="351"/>
      <c r="M953" s="456"/>
      <c r="N953" s="353"/>
      <c r="O953" s="433"/>
    </row>
    <row r="954">
      <c r="A954" s="433"/>
      <c r="B954" s="456"/>
      <c r="C954" s="433"/>
      <c r="D954" s="433"/>
      <c r="E954" s="545"/>
      <c r="F954" s="353"/>
      <c r="G954" s="456"/>
      <c r="H954" s="455"/>
      <c r="I954" s="351"/>
      <c r="J954" s="433"/>
      <c r="K954" s="546"/>
      <c r="L954" s="351"/>
      <c r="M954" s="456"/>
      <c r="N954" s="353"/>
      <c r="O954" s="433"/>
    </row>
    <row r="955">
      <c r="A955" s="433"/>
      <c r="B955" s="456"/>
      <c r="C955" s="433"/>
      <c r="D955" s="433"/>
      <c r="E955" s="545"/>
      <c r="F955" s="353"/>
      <c r="G955" s="456"/>
      <c r="H955" s="455"/>
      <c r="I955" s="351"/>
      <c r="J955" s="433"/>
      <c r="K955" s="546"/>
      <c r="L955" s="351"/>
      <c r="M955" s="456"/>
      <c r="N955" s="353"/>
      <c r="O955" s="433"/>
    </row>
    <row r="956">
      <c r="A956" s="433"/>
      <c r="B956" s="456"/>
      <c r="C956" s="433"/>
      <c r="D956" s="433"/>
      <c r="E956" s="545"/>
      <c r="F956" s="353"/>
      <c r="G956" s="456"/>
      <c r="H956" s="455"/>
      <c r="I956" s="351"/>
      <c r="J956" s="433"/>
      <c r="K956" s="546"/>
      <c r="L956" s="351"/>
      <c r="M956" s="456"/>
      <c r="N956" s="353"/>
      <c r="O956" s="433"/>
    </row>
    <row r="957">
      <c r="A957" s="433"/>
      <c r="B957" s="456"/>
      <c r="C957" s="433"/>
      <c r="D957" s="433"/>
      <c r="E957" s="545"/>
      <c r="F957" s="353"/>
      <c r="G957" s="456"/>
      <c r="H957" s="455"/>
      <c r="I957" s="351"/>
      <c r="J957" s="433"/>
      <c r="K957" s="546"/>
      <c r="L957" s="351"/>
      <c r="M957" s="456"/>
      <c r="N957" s="353"/>
      <c r="O957" s="433"/>
    </row>
    <row r="958">
      <c r="A958" s="433"/>
      <c r="B958" s="456"/>
      <c r="C958" s="433"/>
      <c r="D958" s="433"/>
      <c r="E958" s="545"/>
      <c r="F958" s="353"/>
      <c r="G958" s="456"/>
      <c r="H958" s="455"/>
      <c r="I958" s="351"/>
      <c r="J958" s="433"/>
      <c r="K958" s="546"/>
      <c r="L958" s="351"/>
      <c r="M958" s="456"/>
      <c r="N958" s="353"/>
      <c r="O958" s="433"/>
    </row>
    <row r="959">
      <c r="A959" s="433"/>
      <c r="B959" s="456"/>
      <c r="C959" s="433"/>
      <c r="D959" s="433"/>
      <c r="E959" s="545"/>
      <c r="F959" s="353"/>
      <c r="G959" s="456"/>
      <c r="H959" s="455"/>
      <c r="I959" s="351"/>
      <c r="J959" s="433"/>
      <c r="K959" s="546"/>
      <c r="L959" s="351"/>
      <c r="M959" s="456"/>
      <c r="N959" s="353"/>
      <c r="O959" s="433"/>
    </row>
    <row r="960">
      <c r="A960" s="433"/>
      <c r="B960" s="456"/>
      <c r="C960" s="433"/>
      <c r="D960" s="433"/>
      <c r="E960" s="545"/>
      <c r="F960" s="353"/>
      <c r="G960" s="456"/>
      <c r="H960" s="455"/>
      <c r="I960" s="351"/>
      <c r="J960" s="433"/>
      <c r="K960" s="546"/>
      <c r="L960" s="351"/>
      <c r="M960" s="456"/>
      <c r="N960" s="353"/>
      <c r="O960" s="433"/>
    </row>
    <row r="961">
      <c r="A961" s="433"/>
      <c r="B961" s="456"/>
      <c r="C961" s="433"/>
      <c r="D961" s="433"/>
      <c r="E961" s="545"/>
      <c r="F961" s="353"/>
      <c r="G961" s="456"/>
      <c r="H961" s="455"/>
      <c r="I961" s="351"/>
      <c r="J961" s="433"/>
      <c r="K961" s="546"/>
      <c r="L961" s="351"/>
      <c r="M961" s="456"/>
      <c r="N961" s="353"/>
      <c r="O961" s="433"/>
    </row>
    <row r="962">
      <c r="A962" s="433"/>
      <c r="B962" s="456"/>
      <c r="C962" s="433"/>
      <c r="D962" s="433"/>
      <c r="E962" s="545"/>
      <c r="F962" s="353"/>
      <c r="G962" s="456"/>
      <c r="H962" s="455"/>
      <c r="I962" s="351"/>
      <c r="J962" s="433"/>
      <c r="K962" s="546"/>
      <c r="L962" s="351"/>
      <c r="M962" s="456"/>
      <c r="N962" s="353"/>
      <c r="O962" s="433"/>
    </row>
    <row r="963">
      <c r="A963" s="433"/>
      <c r="B963" s="456"/>
      <c r="C963" s="433"/>
      <c r="D963" s="433"/>
      <c r="E963" s="545"/>
      <c r="F963" s="353"/>
      <c r="G963" s="456"/>
      <c r="H963" s="455"/>
      <c r="I963" s="351"/>
      <c r="J963" s="433"/>
      <c r="K963" s="546"/>
      <c r="L963" s="351"/>
      <c r="M963" s="456"/>
      <c r="N963" s="353"/>
      <c r="O963" s="433"/>
    </row>
    <row r="964">
      <c r="A964" s="433"/>
      <c r="B964" s="456"/>
      <c r="C964" s="433"/>
      <c r="D964" s="433"/>
      <c r="E964" s="545"/>
      <c r="F964" s="353"/>
      <c r="G964" s="456"/>
      <c r="H964" s="455"/>
      <c r="I964" s="351"/>
      <c r="J964" s="433"/>
      <c r="K964" s="546"/>
      <c r="L964" s="351"/>
      <c r="M964" s="456"/>
      <c r="N964" s="353"/>
      <c r="O964" s="433"/>
    </row>
    <row r="965">
      <c r="A965" s="433"/>
      <c r="B965" s="456"/>
      <c r="C965" s="433"/>
      <c r="D965" s="433"/>
      <c r="E965" s="545"/>
      <c r="F965" s="353"/>
      <c r="G965" s="456"/>
      <c r="H965" s="455"/>
      <c r="I965" s="351"/>
      <c r="J965" s="433"/>
      <c r="K965" s="546"/>
      <c r="L965" s="351"/>
      <c r="M965" s="456"/>
      <c r="N965" s="353"/>
      <c r="O965" s="433"/>
    </row>
    <row r="966">
      <c r="A966" s="433"/>
      <c r="B966" s="456"/>
      <c r="C966" s="433"/>
      <c r="D966" s="433"/>
      <c r="E966" s="545"/>
      <c r="F966" s="353"/>
      <c r="G966" s="456"/>
      <c r="H966" s="455"/>
      <c r="I966" s="351"/>
      <c r="J966" s="433"/>
      <c r="K966" s="546"/>
      <c r="L966" s="351"/>
      <c r="M966" s="456"/>
      <c r="N966" s="353"/>
      <c r="O966" s="433"/>
    </row>
    <row r="967">
      <c r="A967" s="433"/>
      <c r="B967" s="456"/>
      <c r="C967" s="433"/>
      <c r="D967" s="433"/>
      <c r="E967" s="545"/>
      <c r="F967" s="353"/>
      <c r="G967" s="456"/>
      <c r="H967" s="455"/>
      <c r="I967" s="351"/>
      <c r="J967" s="433"/>
      <c r="K967" s="546"/>
      <c r="L967" s="351"/>
      <c r="M967" s="456"/>
      <c r="N967" s="353"/>
      <c r="O967" s="433"/>
    </row>
    <row r="968">
      <c r="A968" s="433"/>
      <c r="B968" s="456"/>
      <c r="C968" s="433"/>
      <c r="D968" s="433"/>
      <c r="E968" s="545"/>
      <c r="F968" s="353"/>
      <c r="G968" s="456"/>
      <c r="H968" s="455"/>
      <c r="I968" s="351"/>
      <c r="J968" s="433"/>
      <c r="K968" s="546"/>
      <c r="L968" s="351"/>
      <c r="M968" s="456"/>
      <c r="N968" s="353"/>
      <c r="O968" s="433"/>
    </row>
    <row r="969">
      <c r="A969" s="433"/>
      <c r="B969" s="456"/>
      <c r="C969" s="433"/>
      <c r="D969" s="433"/>
      <c r="E969" s="545"/>
      <c r="F969" s="353"/>
      <c r="G969" s="456"/>
      <c r="H969" s="455"/>
      <c r="I969" s="351"/>
      <c r="J969" s="433"/>
      <c r="K969" s="546"/>
      <c r="L969" s="351"/>
      <c r="M969" s="456"/>
      <c r="N969" s="353"/>
      <c r="O969" s="433"/>
    </row>
    <row r="970">
      <c r="A970" s="433"/>
      <c r="B970" s="456"/>
      <c r="C970" s="433"/>
      <c r="D970" s="433"/>
      <c r="E970" s="545"/>
      <c r="F970" s="353"/>
      <c r="G970" s="456"/>
      <c r="H970" s="455"/>
      <c r="I970" s="351"/>
      <c r="J970" s="433"/>
      <c r="K970" s="546"/>
      <c r="L970" s="351"/>
      <c r="M970" s="456"/>
      <c r="N970" s="353"/>
      <c r="O970" s="433"/>
    </row>
    <row r="971">
      <c r="A971" s="433"/>
      <c r="B971" s="456"/>
      <c r="C971" s="433"/>
      <c r="D971" s="433"/>
      <c r="E971" s="545"/>
      <c r="F971" s="353"/>
      <c r="G971" s="456"/>
      <c r="H971" s="455"/>
      <c r="I971" s="351"/>
      <c r="J971" s="433"/>
      <c r="K971" s="546"/>
      <c r="L971" s="351"/>
      <c r="M971" s="456"/>
      <c r="N971" s="353"/>
      <c r="O971" s="433"/>
    </row>
    <row r="972">
      <c r="A972" s="433"/>
      <c r="B972" s="456"/>
      <c r="C972" s="433"/>
      <c r="D972" s="433"/>
      <c r="E972" s="545"/>
      <c r="F972" s="353"/>
      <c r="G972" s="456"/>
      <c r="H972" s="455"/>
      <c r="I972" s="351"/>
      <c r="J972" s="433"/>
      <c r="K972" s="546"/>
      <c r="L972" s="351"/>
      <c r="M972" s="456"/>
      <c r="N972" s="353"/>
      <c r="O972" s="433"/>
    </row>
    <row r="973">
      <c r="A973" s="433"/>
      <c r="B973" s="456"/>
      <c r="C973" s="433"/>
      <c r="D973" s="433"/>
      <c r="E973" s="545"/>
      <c r="F973" s="353"/>
      <c r="G973" s="456"/>
      <c r="H973" s="455"/>
      <c r="I973" s="351"/>
      <c r="J973" s="433"/>
      <c r="K973" s="546"/>
      <c r="L973" s="351"/>
      <c r="M973" s="456"/>
      <c r="N973" s="353"/>
      <c r="O973" s="433"/>
    </row>
    <row r="974">
      <c r="A974" s="433"/>
      <c r="B974" s="456"/>
      <c r="C974" s="433"/>
      <c r="D974" s="433"/>
      <c r="E974" s="545"/>
      <c r="F974" s="353"/>
      <c r="G974" s="456"/>
      <c r="H974" s="455"/>
      <c r="I974" s="351"/>
      <c r="J974" s="433"/>
      <c r="K974" s="546"/>
      <c r="L974" s="351"/>
      <c r="M974" s="456"/>
      <c r="N974" s="353"/>
      <c r="O974" s="433"/>
    </row>
    <row r="975">
      <c r="A975" s="433"/>
      <c r="B975" s="456"/>
      <c r="C975" s="433"/>
      <c r="D975" s="433"/>
      <c r="E975" s="545"/>
      <c r="F975" s="353"/>
      <c r="G975" s="456"/>
      <c r="H975" s="455"/>
      <c r="I975" s="351"/>
      <c r="J975" s="433"/>
      <c r="K975" s="546"/>
      <c r="L975" s="351"/>
      <c r="M975" s="456"/>
      <c r="N975" s="353"/>
      <c r="O975" s="433"/>
    </row>
    <row r="976">
      <c r="A976" s="433"/>
      <c r="B976" s="456"/>
      <c r="C976" s="433"/>
      <c r="D976" s="433"/>
      <c r="E976" s="545"/>
      <c r="F976" s="353"/>
      <c r="G976" s="456"/>
      <c r="H976" s="455"/>
      <c r="I976" s="351"/>
      <c r="J976" s="433"/>
      <c r="K976" s="546"/>
      <c r="L976" s="351"/>
      <c r="M976" s="456"/>
      <c r="N976" s="353"/>
      <c r="O976" s="433"/>
    </row>
    <row r="977">
      <c r="A977" s="433"/>
      <c r="B977" s="456"/>
      <c r="C977" s="433"/>
      <c r="D977" s="433"/>
      <c r="E977" s="545"/>
      <c r="F977" s="353"/>
      <c r="G977" s="456"/>
      <c r="H977" s="455"/>
      <c r="I977" s="351"/>
      <c r="J977" s="433"/>
      <c r="K977" s="546"/>
      <c r="L977" s="351"/>
      <c r="M977" s="456"/>
      <c r="N977" s="353"/>
      <c r="O977" s="433"/>
    </row>
    <row r="978">
      <c r="A978" s="433"/>
      <c r="B978" s="456"/>
      <c r="C978" s="433"/>
      <c r="D978" s="433"/>
      <c r="E978" s="545"/>
      <c r="F978" s="353"/>
      <c r="G978" s="456"/>
      <c r="H978" s="455"/>
      <c r="I978" s="351"/>
      <c r="J978" s="433"/>
      <c r="K978" s="546"/>
      <c r="L978" s="351"/>
      <c r="M978" s="456"/>
      <c r="N978" s="353"/>
      <c r="O978" s="433"/>
    </row>
    <row r="979">
      <c r="A979" s="433"/>
      <c r="B979" s="456"/>
      <c r="C979" s="433"/>
      <c r="D979" s="433"/>
      <c r="E979" s="545"/>
      <c r="F979" s="353"/>
      <c r="G979" s="456"/>
      <c r="H979" s="455"/>
      <c r="I979" s="351"/>
      <c r="J979" s="433"/>
      <c r="K979" s="546"/>
      <c r="L979" s="351"/>
      <c r="M979" s="456"/>
      <c r="N979" s="353"/>
      <c r="O979" s="433"/>
    </row>
    <row r="980">
      <c r="A980" s="433"/>
      <c r="B980" s="456"/>
      <c r="C980" s="433"/>
      <c r="D980" s="433"/>
      <c r="E980" s="545"/>
      <c r="F980" s="353"/>
      <c r="G980" s="456"/>
      <c r="H980" s="455"/>
      <c r="I980" s="351"/>
      <c r="J980" s="433"/>
      <c r="K980" s="546"/>
      <c r="L980" s="351"/>
      <c r="M980" s="456"/>
      <c r="N980" s="353"/>
      <c r="O980" s="433"/>
    </row>
    <row r="981">
      <c r="A981" s="433"/>
      <c r="B981" s="456"/>
      <c r="C981" s="433"/>
      <c r="D981" s="433"/>
      <c r="E981" s="545"/>
      <c r="F981" s="353"/>
      <c r="G981" s="456"/>
      <c r="H981" s="455"/>
      <c r="I981" s="351"/>
      <c r="J981" s="433"/>
      <c r="K981" s="546"/>
      <c r="L981" s="351"/>
      <c r="M981" s="456"/>
      <c r="N981" s="353"/>
      <c r="O981" s="433"/>
    </row>
    <row r="982">
      <c r="A982" s="433"/>
      <c r="B982" s="456"/>
      <c r="C982" s="433"/>
      <c r="D982" s="433"/>
      <c r="E982" s="545"/>
      <c r="F982" s="353"/>
      <c r="G982" s="456"/>
      <c r="H982" s="455"/>
      <c r="I982" s="351"/>
      <c r="J982" s="433"/>
      <c r="K982" s="546"/>
      <c r="L982" s="351"/>
      <c r="M982" s="456"/>
      <c r="N982" s="353"/>
      <c r="O982" s="433"/>
    </row>
    <row r="983">
      <c r="A983" s="433"/>
      <c r="B983" s="456"/>
      <c r="C983" s="433"/>
      <c r="D983" s="433"/>
      <c r="E983" s="545"/>
      <c r="F983" s="353"/>
      <c r="G983" s="456"/>
      <c r="H983" s="455"/>
      <c r="I983" s="351"/>
      <c r="J983" s="433"/>
      <c r="K983" s="546"/>
      <c r="L983" s="351"/>
      <c r="M983" s="456"/>
      <c r="N983" s="353"/>
      <c r="O983" s="433"/>
    </row>
    <row r="984">
      <c r="A984" s="433"/>
      <c r="B984" s="456"/>
      <c r="C984" s="433"/>
      <c r="D984" s="433"/>
      <c r="E984" s="545"/>
      <c r="F984" s="353"/>
      <c r="G984" s="456"/>
      <c r="H984" s="455"/>
      <c r="I984" s="351"/>
      <c r="J984" s="433"/>
      <c r="K984" s="546"/>
      <c r="L984" s="351"/>
      <c r="M984" s="456"/>
      <c r="N984" s="353"/>
      <c r="O984" s="433"/>
    </row>
    <row r="985">
      <c r="A985" s="433"/>
      <c r="B985" s="456"/>
      <c r="C985" s="433"/>
      <c r="D985" s="433"/>
      <c r="E985" s="545"/>
      <c r="F985" s="353"/>
      <c r="G985" s="456"/>
      <c r="H985" s="455"/>
      <c r="I985" s="351"/>
      <c r="J985" s="433"/>
      <c r="K985" s="546"/>
      <c r="L985" s="351"/>
      <c r="M985" s="456"/>
      <c r="N985" s="353"/>
      <c r="O985" s="433"/>
    </row>
    <row r="986">
      <c r="A986" s="433"/>
      <c r="B986" s="456"/>
      <c r="C986" s="433"/>
      <c r="D986" s="433"/>
      <c r="E986" s="545"/>
      <c r="F986" s="353"/>
      <c r="G986" s="456"/>
      <c r="H986" s="455"/>
      <c r="I986" s="351"/>
      <c r="J986" s="433"/>
      <c r="K986" s="546"/>
      <c r="L986" s="351"/>
      <c r="M986" s="456"/>
      <c r="N986" s="353"/>
      <c r="O986" s="433"/>
    </row>
    <row r="987">
      <c r="A987" s="433"/>
      <c r="B987" s="456"/>
      <c r="C987" s="433"/>
      <c r="D987" s="433"/>
      <c r="E987" s="545"/>
      <c r="F987" s="353"/>
      <c r="G987" s="456"/>
      <c r="H987" s="455"/>
      <c r="I987" s="351"/>
      <c r="J987" s="433"/>
      <c r="K987" s="546"/>
      <c r="L987" s="351"/>
      <c r="M987" s="456"/>
      <c r="N987" s="353"/>
      <c r="O987" s="433"/>
    </row>
    <row r="988">
      <c r="A988" s="433"/>
      <c r="B988" s="456"/>
      <c r="C988" s="433"/>
      <c r="D988" s="433"/>
      <c r="E988" s="545"/>
      <c r="F988" s="353"/>
      <c r="G988" s="456"/>
      <c r="H988" s="455"/>
      <c r="I988" s="351"/>
      <c r="J988" s="433"/>
      <c r="K988" s="546"/>
      <c r="L988" s="351"/>
      <c r="M988" s="456"/>
      <c r="N988" s="353"/>
      <c r="O988" s="433"/>
    </row>
    <row r="989">
      <c r="A989" s="433"/>
      <c r="B989" s="456"/>
      <c r="C989" s="433"/>
      <c r="D989" s="433"/>
      <c r="E989" s="545"/>
      <c r="F989" s="353"/>
      <c r="G989" s="456"/>
      <c r="H989" s="455"/>
      <c r="I989" s="351"/>
      <c r="J989" s="433"/>
      <c r="K989" s="546"/>
      <c r="L989" s="351"/>
      <c r="M989" s="456"/>
      <c r="N989" s="353"/>
      <c r="O989" s="433"/>
    </row>
    <row r="990">
      <c r="A990" s="433"/>
      <c r="B990" s="456"/>
      <c r="C990" s="433"/>
      <c r="D990" s="433"/>
      <c r="E990" s="545"/>
      <c r="F990" s="353"/>
      <c r="G990" s="456"/>
      <c r="H990" s="455"/>
      <c r="I990" s="351"/>
      <c r="J990" s="433"/>
      <c r="K990" s="546"/>
      <c r="L990" s="351"/>
      <c r="M990" s="456"/>
      <c r="N990" s="353"/>
      <c r="O990" s="433"/>
    </row>
    <row r="991">
      <c r="A991" s="433"/>
      <c r="B991" s="456"/>
      <c r="C991" s="433"/>
      <c r="D991" s="433"/>
      <c r="E991" s="545"/>
      <c r="F991" s="353"/>
      <c r="G991" s="456"/>
      <c r="H991" s="455"/>
      <c r="I991" s="351"/>
      <c r="J991" s="433"/>
      <c r="K991" s="546"/>
      <c r="L991" s="351"/>
      <c r="M991" s="456"/>
      <c r="N991" s="353"/>
      <c r="O991" s="433"/>
    </row>
    <row r="992">
      <c r="A992" s="433"/>
      <c r="B992" s="456"/>
      <c r="C992" s="433"/>
      <c r="D992" s="433"/>
      <c r="E992" s="545"/>
      <c r="F992" s="353"/>
      <c r="G992" s="456"/>
      <c r="H992" s="455"/>
      <c r="I992" s="351"/>
      <c r="J992" s="433"/>
      <c r="K992" s="546"/>
      <c r="L992" s="351"/>
      <c r="M992" s="456"/>
      <c r="N992" s="353"/>
      <c r="O992" s="433"/>
    </row>
    <row r="993">
      <c r="A993" s="433"/>
      <c r="B993" s="456"/>
      <c r="C993" s="433"/>
      <c r="D993" s="433"/>
      <c r="E993" s="545"/>
      <c r="F993" s="353"/>
      <c r="G993" s="456"/>
      <c r="H993" s="455"/>
      <c r="I993" s="351"/>
      <c r="J993" s="433"/>
      <c r="K993" s="546"/>
      <c r="L993" s="351"/>
      <c r="M993" s="456"/>
      <c r="N993" s="353"/>
      <c r="O993" s="433"/>
    </row>
    <row r="994">
      <c r="A994" s="433"/>
      <c r="B994" s="456"/>
      <c r="C994" s="433"/>
      <c r="D994" s="433"/>
      <c r="E994" s="545"/>
      <c r="F994" s="353"/>
      <c r="G994" s="456"/>
      <c r="H994" s="455"/>
      <c r="I994" s="351"/>
      <c r="J994" s="433"/>
      <c r="K994" s="546"/>
      <c r="L994" s="351"/>
      <c r="M994" s="456"/>
      <c r="N994" s="353"/>
      <c r="O994" s="433"/>
    </row>
    <row r="995">
      <c r="A995" s="433"/>
      <c r="B995" s="456"/>
      <c r="C995" s="433"/>
      <c r="D995" s="433"/>
      <c r="E995" s="545"/>
      <c r="F995" s="353"/>
      <c r="G995" s="456"/>
      <c r="H995" s="455"/>
      <c r="I995" s="351"/>
      <c r="J995" s="433"/>
      <c r="K995" s="546"/>
      <c r="L995" s="351"/>
      <c r="M995" s="456"/>
      <c r="N995" s="353"/>
      <c r="O995" s="433"/>
    </row>
    <row r="996">
      <c r="A996" s="433"/>
      <c r="B996" s="456"/>
      <c r="C996" s="433"/>
      <c r="D996" s="433"/>
      <c r="E996" s="545"/>
      <c r="F996" s="353"/>
      <c r="G996" s="456"/>
      <c r="H996" s="455"/>
      <c r="I996" s="351"/>
      <c r="J996" s="433"/>
      <c r="K996" s="546"/>
      <c r="L996" s="351"/>
      <c r="M996" s="456"/>
      <c r="N996" s="353"/>
      <c r="O996" s="433"/>
    </row>
    <row r="997">
      <c r="A997" s="433"/>
      <c r="B997" s="456"/>
      <c r="C997" s="433"/>
      <c r="D997" s="433"/>
      <c r="E997" s="545"/>
      <c r="F997" s="353"/>
      <c r="G997" s="456"/>
      <c r="H997" s="455"/>
      <c r="I997" s="351"/>
      <c r="J997" s="433"/>
      <c r="K997" s="546"/>
      <c r="L997" s="351"/>
      <c r="M997" s="456"/>
      <c r="N997" s="353"/>
      <c r="O997" s="433"/>
    </row>
    <row r="998">
      <c r="A998" s="433"/>
      <c r="B998" s="456"/>
      <c r="C998" s="433"/>
      <c r="D998" s="433"/>
      <c r="E998" s="545"/>
      <c r="F998" s="353"/>
      <c r="G998" s="456"/>
      <c r="H998" s="455"/>
      <c r="I998" s="351"/>
      <c r="J998" s="433"/>
      <c r="K998" s="546"/>
      <c r="L998" s="351"/>
      <c r="M998" s="456"/>
      <c r="N998" s="353"/>
      <c r="O998" s="433"/>
    </row>
    <row r="999">
      <c r="A999" s="433"/>
      <c r="B999" s="456"/>
      <c r="C999" s="433"/>
      <c r="D999" s="433"/>
      <c r="E999" s="545"/>
      <c r="F999" s="353"/>
      <c r="G999" s="456"/>
      <c r="H999" s="455"/>
      <c r="I999" s="351"/>
      <c r="J999" s="433"/>
      <c r="K999" s="546"/>
      <c r="L999" s="351"/>
      <c r="M999" s="456"/>
      <c r="N999" s="353"/>
      <c r="O999" s="433"/>
    </row>
    <row r="1000">
      <c r="A1000" s="433"/>
      <c r="B1000" s="456"/>
      <c r="C1000" s="433"/>
      <c r="D1000" s="433"/>
      <c r="E1000" s="545"/>
      <c r="F1000" s="353"/>
      <c r="G1000" s="456"/>
      <c r="H1000" s="455"/>
      <c r="I1000" s="351"/>
      <c r="J1000" s="433"/>
      <c r="K1000" s="546"/>
      <c r="L1000" s="351"/>
      <c r="M1000" s="456"/>
      <c r="N1000" s="353"/>
      <c r="O1000" s="433"/>
    </row>
    <row r="1001">
      <c r="A1001" s="433"/>
      <c r="B1001" s="456"/>
      <c r="C1001" s="433"/>
      <c r="D1001" s="433"/>
      <c r="E1001" s="545"/>
      <c r="F1001" s="353"/>
      <c r="G1001" s="456"/>
      <c r="H1001" s="455"/>
      <c r="I1001" s="351"/>
      <c r="J1001" s="433"/>
      <c r="K1001" s="546"/>
      <c r="L1001" s="351"/>
      <c r="M1001" s="456"/>
      <c r="N1001" s="353"/>
      <c r="O1001" s="433"/>
    </row>
    <row r="1002">
      <c r="A1002" s="433"/>
      <c r="B1002" s="456"/>
      <c r="C1002" s="433"/>
      <c r="D1002" s="433"/>
      <c r="E1002" s="545"/>
      <c r="F1002" s="353"/>
      <c r="G1002" s="456"/>
      <c r="H1002" s="455"/>
      <c r="I1002" s="351"/>
      <c r="J1002" s="433"/>
      <c r="K1002" s="546"/>
      <c r="L1002" s="351"/>
      <c r="M1002" s="456"/>
      <c r="N1002" s="353"/>
      <c r="O1002" s="433"/>
    </row>
    <row r="1003">
      <c r="A1003" s="433"/>
      <c r="B1003" s="456"/>
      <c r="C1003" s="433"/>
      <c r="D1003" s="433"/>
      <c r="E1003" s="545"/>
      <c r="F1003" s="353"/>
      <c r="G1003" s="456"/>
      <c r="H1003" s="455"/>
      <c r="I1003" s="351"/>
      <c r="J1003" s="433"/>
      <c r="K1003" s="546"/>
      <c r="L1003" s="351"/>
      <c r="M1003" s="456"/>
      <c r="N1003" s="353"/>
      <c r="O1003" s="433"/>
    </row>
    <row r="1004">
      <c r="A1004" s="433"/>
      <c r="B1004" s="456"/>
      <c r="C1004" s="433"/>
      <c r="D1004" s="433"/>
      <c r="E1004" s="545"/>
      <c r="F1004" s="547"/>
      <c r="G1004" s="456"/>
      <c r="H1004" s="456"/>
      <c r="I1004" s="433"/>
      <c r="J1004" s="433"/>
      <c r="K1004" s="433"/>
      <c r="L1004" s="433"/>
      <c r="M1004" s="456"/>
      <c r="N1004" s="462"/>
      <c r="O1004" s="433"/>
    </row>
  </sheetData>
  <mergeCells count="37">
    <mergeCell ref="J7:J8"/>
    <mergeCell ref="K7:K8"/>
    <mergeCell ref="M7:M8"/>
    <mergeCell ref="O7:O8"/>
    <mergeCell ref="A1:E1"/>
    <mergeCell ref="G1:H1"/>
    <mergeCell ref="J1:K1"/>
    <mergeCell ref="O1:O2"/>
    <mergeCell ref="A3:A12"/>
    <mergeCell ref="B7:B8"/>
    <mergeCell ref="C7:C8"/>
    <mergeCell ref="D56:D57"/>
    <mergeCell ref="E56:E57"/>
    <mergeCell ref="J56:J57"/>
    <mergeCell ref="K56:K57"/>
    <mergeCell ref="M56:M57"/>
    <mergeCell ref="O56:O57"/>
    <mergeCell ref="D7:D8"/>
    <mergeCell ref="E7:E8"/>
    <mergeCell ref="A14:A19"/>
    <mergeCell ref="A21:A24"/>
    <mergeCell ref="A26:A34"/>
    <mergeCell ref="A36:A50"/>
    <mergeCell ref="A52:A62"/>
    <mergeCell ref="D141:D143"/>
    <mergeCell ref="E141:E143"/>
    <mergeCell ref="J141:J143"/>
    <mergeCell ref="K141:K143"/>
    <mergeCell ref="G142:G143"/>
    <mergeCell ref="H142:H143"/>
    <mergeCell ref="B56:B57"/>
    <mergeCell ref="C56:C57"/>
    <mergeCell ref="A64:A84"/>
    <mergeCell ref="A86:A135"/>
    <mergeCell ref="B141:B143"/>
    <mergeCell ref="C141:C143"/>
    <mergeCell ref="A137:A154"/>
  </mergeCells>
  <conditionalFormatting sqref="H85:I85 H136">
    <cfRule type="containsText" dxfId="10" priority="1" operator="containsText" text="Ja">
      <formula>NOT(ISERROR(SEARCH(("Ja"),(H85))))</formula>
    </cfRule>
  </conditionalFormatting>
  <conditionalFormatting sqref="H85:I85 H136">
    <cfRule type="containsText" dxfId="9" priority="2" operator="containsText" text="Nee">
      <formula>NOT(ISERROR(SEARCH(("Nee"),(H85))))</formula>
    </cfRule>
  </conditionalFormatting>
  <conditionalFormatting sqref="C56:D57 C62:D63 C69:D69 C77:D77 C81:D81 C90:D92 C95:D95 C100:D100 C103:D105 C107:D107 C116:D120 C122:D123 C125:D125 C131:D131 C133:D133 C137:D137 C140:D144 C147:D147 C149:D152">
    <cfRule type="containsText" dxfId="2" priority="3" operator="containsText" text="SO">
      <formula>NOT(ISERROR(SEARCH(("SO"),(C56))))</formula>
    </cfRule>
  </conditionalFormatting>
  <conditionalFormatting sqref="C56:D57 C62:D63 C69:D69 C77:D77 C81:D81 C90:D92 C95:D95 C100:D100 C103:D105 C107:D107 C116:D120 C122:D123 C125:D125 C131:D131 C133:D133 C137:D137 C140:D144 C147:D147 C149:D152">
    <cfRule type="containsText" dxfId="3" priority="4" operator="containsText" text="tegen">
      <formula>NOT(ISERROR(SEARCH(("tegen"),(C56))))</formula>
    </cfRule>
  </conditionalFormatting>
  <conditionalFormatting sqref="C56:D57 C62:D63 C69:D69 C77:D77 C81:D81 C90:D92 C95:D95 C100:D100 C103:D105 C107:D107 C116:D120 C122:D123 C125:D125 C131:D131 C133:D133 C137:D137 C140:D144 C147:D147 C149:D152">
    <cfRule type="containsText" dxfId="4" priority="5" operator="containsText" text="voor">
      <formula>NOT(ISERROR(SEARCH(("voor"),(C56))))</formula>
    </cfRule>
  </conditionalFormatting>
  <conditionalFormatting sqref="C56:D57 C62:D63 C69:D69 C77:D77 C81:D81 C90:D92 C95:D95 C100:D100 C103:D105 C107:D107 C116:D120 C122:D123 C125:D125 C131:D131 C133:D133 C137:D137 C140:D144 C147:D147 C149:D152">
    <cfRule type="cellIs" dxfId="5" priority="6" operator="equal">
      <formula>"NG"</formula>
    </cfRule>
  </conditionalFormatting>
  <conditionalFormatting sqref="C16:D16 C80:D80">
    <cfRule type="containsText" dxfId="0" priority="7" operator="containsText" text="voor">
      <formula>NOT(ISERROR(SEARCH(("voor"),(C16))))</formula>
    </cfRule>
  </conditionalFormatting>
  <conditionalFormatting sqref="C16:D16 C80:D80">
    <cfRule type="containsText" dxfId="1" priority="8" operator="containsText" text="tegen">
      <formula>NOT(ISERROR(SEARCH(("tegen"),(C16))))</formula>
    </cfRule>
  </conditionalFormatting>
  <conditionalFormatting sqref="J1:K1004 L85:O85">
    <cfRule type="containsText" dxfId="10" priority="9" operator="containsText" text="Aangenomen">
      <formula>NOT(ISERROR(SEARCH(("Aangenomen"),(J1))))</formula>
    </cfRule>
  </conditionalFormatting>
  <conditionalFormatting sqref="J1:K1004 L85:O85">
    <cfRule type="containsText" dxfId="11" priority="10" operator="containsText" text="Afgewezen">
      <formula>NOT(ISERROR(SEARCH(("Afgewezen"),(J1))))</formula>
    </cfRule>
  </conditionalFormatting>
  <conditionalFormatting sqref="J1:K1004 L85:O85">
    <cfRule type="containsText" dxfId="8" priority="11" operator="containsText" text="In afwachting">
      <formula>NOT(ISERROR(SEARCH(("In afwachting"),(J1))))</formula>
    </cfRule>
  </conditionalFormatting>
  <conditionalFormatting sqref="H1:H1004">
    <cfRule type="containsText" dxfId="10" priority="12" operator="containsText" text="Aangen.">
      <formula>NOT(ISERROR(SEARCH(("Aangen."),(H1))))</formula>
    </cfRule>
  </conditionalFormatting>
  <conditionalFormatting sqref="H1:H1004">
    <cfRule type="containsText" dxfId="11" priority="13" operator="containsText" text="Afgew.">
      <formula>NOT(ISERROR(SEARCH(("Afgew."),(H1))))</formula>
    </cfRule>
  </conditionalFormatting>
  <conditionalFormatting sqref="H1:H1004">
    <cfRule type="containsText" dxfId="8" priority="14" operator="containsText" text="In afw.">
      <formula>NOT(ISERROR(SEARCH(("In afw."),(H1))))</formula>
    </cfRule>
  </conditionalFormatting>
  <conditionalFormatting sqref="G1:K1004 C56:D57 C62:D63 C69:D69 C77:D77 C81:D81 L85:O85 C90:D92 C95:D95 C100:D100 C103:D105 C107:D107 C116:D120 C122:D123 C125:D125 C131:D131 C133:D133 C137:D137 C140:D144 C147:D147 C149:D152">
    <cfRule type="containsText" dxfId="6" priority="15" operator="containsText" text="NVT">
      <formula>NOT(ISERROR(SEARCH(("NVT"),(G1))))</formula>
    </cfRule>
  </conditionalFormatting>
  <hyperlinks>
    <hyperlink r:id="rId2" ref="E86"/>
    <hyperlink r:id="rId3" ref="E87"/>
    <hyperlink r:id="rId4" ref="E88"/>
    <hyperlink r:id="rId5" ref="E89"/>
    <hyperlink r:id="rId6" ref="E90"/>
    <hyperlink r:id="rId7" ref="E91"/>
    <hyperlink r:id="rId8" ref="E92"/>
    <hyperlink r:id="rId9" ref="E94"/>
    <hyperlink r:id="rId10" ref="E95"/>
    <hyperlink r:id="rId11" ref="E97"/>
    <hyperlink r:id="rId12" ref="E99"/>
    <hyperlink r:id="rId13" ref="E100"/>
    <hyperlink r:id="rId14" ref="E101"/>
    <hyperlink r:id="rId15" ref="E102"/>
    <hyperlink r:id="rId16" ref="E103"/>
    <hyperlink r:id="rId17" ref="E104"/>
    <hyperlink r:id="rId18" ref="E105"/>
    <hyperlink r:id="rId19" ref="E106"/>
    <hyperlink r:id="rId20" ref="E107"/>
    <hyperlink r:id="rId21" ref="E108"/>
    <hyperlink r:id="rId22" ref="G108"/>
    <hyperlink r:id="rId23" ref="E109"/>
    <hyperlink r:id="rId24" ref="E110"/>
    <hyperlink r:id="rId25" ref="E111"/>
    <hyperlink r:id="rId26" ref="E112"/>
    <hyperlink r:id="rId27" ref="E113"/>
    <hyperlink r:id="rId28" ref="E114"/>
    <hyperlink r:id="rId29" ref="G114"/>
    <hyperlink r:id="rId30" ref="E115"/>
    <hyperlink r:id="rId31" ref="E116"/>
    <hyperlink r:id="rId32" ref="E117"/>
    <hyperlink r:id="rId33" ref="E118"/>
    <hyperlink r:id="rId34" ref="E119"/>
    <hyperlink r:id="rId35" ref="E120"/>
    <hyperlink r:id="rId36" ref="E121"/>
    <hyperlink r:id="rId37" ref="E122"/>
    <hyperlink r:id="rId38" ref="E123"/>
    <hyperlink r:id="rId39" ref="E124"/>
    <hyperlink r:id="rId40" ref="G124"/>
    <hyperlink r:id="rId41" ref="E125"/>
    <hyperlink r:id="rId42" ref="E126"/>
    <hyperlink r:id="rId43" ref="E127"/>
    <hyperlink r:id="rId44" ref="E128"/>
    <hyperlink r:id="rId45" ref="G128"/>
    <hyperlink r:id="rId46" ref="E129"/>
    <hyperlink r:id="rId47" ref="G129"/>
    <hyperlink r:id="rId48" ref="E130"/>
    <hyperlink r:id="rId49" ref="E131"/>
    <hyperlink r:id="rId50" ref="E132"/>
    <hyperlink r:id="rId51" ref="E133"/>
    <hyperlink r:id="rId52" ref="E134"/>
    <hyperlink r:id="rId53" ref="G134"/>
    <hyperlink r:id="rId54" ref="E135"/>
    <hyperlink r:id="rId55" ref="E137"/>
    <hyperlink r:id="rId56" ref="E138"/>
    <hyperlink r:id="rId57" ref="E139"/>
    <hyperlink r:id="rId58" ref="E140"/>
    <hyperlink r:id="rId59" ref="E141"/>
    <hyperlink r:id="rId60" ref="G141"/>
    <hyperlink r:id="rId61" ref="G142"/>
    <hyperlink r:id="rId62" ref="E144"/>
    <hyperlink r:id="rId63" ref="E145"/>
    <hyperlink r:id="rId64" ref="E146"/>
    <hyperlink r:id="rId65" ref="G146"/>
    <hyperlink r:id="rId66" ref="E147"/>
    <hyperlink r:id="rId67" ref="E148"/>
  </hyperlinks>
  <drawing r:id="rId68"/>
  <legacyDrawing r:id="rId69"/>
  <tableParts count="12">
    <tablePart r:id="rId82"/>
    <tablePart r:id="rId83"/>
    <tablePart r:id="rId84"/>
    <tablePart r:id="rId85"/>
    <tablePart r:id="rId86"/>
    <tablePart r:id="rId87"/>
    <tablePart r:id="rId88"/>
    <tablePart r:id="rId89"/>
    <tablePart r:id="rId90"/>
    <tablePart r:id="rId91"/>
    <tablePart r:id="rId92"/>
    <tablePart r:id="rId93"/>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45818E"/>
    <outlinePr summaryBelow="0" summaryRight="0"/>
  </sheetPr>
  <sheetViews>
    <sheetView workbookViewId="0">
      <pane ySplit="2.0" topLeftCell="A3" activePane="bottomLeft" state="frozen"/>
      <selection activeCell="B4" sqref="B4" pane="bottomLeft"/>
    </sheetView>
  </sheetViews>
  <sheetFormatPr customHeight="1" defaultColWidth="14.43" defaultRowHeight="15.75"/>
  <cols>
    <col customWidth="1" min="1" max="1" width="29.29"/>
    <col customWidth="1" min="2" max="2" width="10.29"/>
    <col customWidth="1" min="3" max="3" width="9.86"/>
    <col customWidth="1" min="4" max="4" width="15.71"/>
    <col customWidth="1" min="5" max="5" width="97.29"/>
    <col customWidth="1" min="6" max="6" width="0.86"/>
    <col customWidth="1" min="7" max="7" width="19.0"/>
    <col customWidth="1" min="8" max="8" width="0.86"/>
    <col customWidth="1" min="9" max="10" width="46.43"/>
  </cols>
  <sheetData>
    <row r="1" ht="30.75" customHeight="1">
      <c r="A1" s="329" t="s">
        <v>816</v>
      </c>
      <c r="B1" s="330"/>
      <c r="C1" s="330"/>
      <c r="D1" s="330"/>
      <c r="E1" s="27"/>
      <c r="F1" s="464"/>
      <c r="G1" s="548" t="s">
        <v>149</v>
      </c>
      <c r="H1" s="465"/>
      <c r="I1" s="337" t="s">
        <v>150</v>
      </c>
      <c r="J1" s="549"/>
    </row>
    <row r="2">
      <c r="A2" s="550" t="s">
        <v>817</v>
      </c>
      <c r="B2" s="339" t="s">
        <v>152</v>
      </c>
      <c r="C2" s="339" t="s">
        <v>153</v>
      </c>
      <c r="D2" s="340" t="s">
        <v>154</v>
      </c>
      <c r="E2" s="341" t="s">
        <v>155</v>
      </c>
      <c r="F2" s="471"/>
      <c r="G2" s="469" t="s">
        <v>157</v>
      </c>
      <c r="H2" s="473"/>
      <c r="I2" s="27"/>
      <c r="J2" s="549"/>
    </row>
    <row r="3" ht="17.25" customHeight="1">
      <c r="A3" s="347" t="s">
        <v>159</v>
      </c>
      <c r="B3" s="252" t="s">
        <v>818</v>
      </c>
      <c r="C3" s="479" t="s">
        <v>589</v>
      </c>
      <c r="D3" s="479" t="s">
        <v>176</v>
      </c>
      <c r="E3" s="551" t="str">
        <f>HYPERLINK("https://www.reddit.com/r/RMTK/comments/a7c1t4/ks0001_kamerbrief_aangaande_plundering_venda/","Kamerbrief aangaande plundering Venda Burial Society Mutual Bank (M0007)")</f>
        <v>Kamerbrief aangaande plundering Venda Burial Society Mutual Bank (M0007)</v>
      </c>
      <c r="F3" s="351"/>
      <c r="G3" s="252" t="s">
        <v>183</v>
      </c>
      <c r="H3" s="353"/>
      <c r="I3" s="354" t="s">
        <v>61</v>
      </c>
      <c r="J3" s="354"/>
    </row>
    <row r="4" ht="17.25" customHeight="1">
      <c r="B4" s="252" t="s">
        <v>819</v>
      </c>
      <c r="C4" s="479" t="s">
        <v>589</v>
      </c>
      <c r="D4" s="479" t="s">
        <v>176</v>
      </c>
      <c r="E4" s="551" t="str">
        <f>HYPERLINK("https://www.reddit.com/r/RMTK/comments/a8d26g/ks0002_kamerbrief_aangaande_versterkingen_abc/","Kamerbrief aangaande versterkingen ABC eilanden (M0005)")</f>
        <v>Kamerbrief aangaande versterkingen ABC eilanden (M0005)</v>
      </c>
      <c r="F4" s="351"/>
      <c r="G4" s="252" t="s">
        <v>177</v>
      </c>
      <c r="H4" s="353"/>
      <c r="I4" s="354" t="s">
        <v>61</v>
      </c>
      <c r="J4" s="354"/>
    </row>
    <row r="5" ht="17.25" customHeight="1">
      <c r="B5" s="252" t="s">
        <v>820</v>
      </c>
      <c r="C5" s="479" t="s">
        <v>589</v>
      </c>
      <c r="D5" s="479" t="s">
        <v>176</v>
      </c>
      <c r="E5" s="551" t="str">
        <f>HYPERLINK("https://www.reddit.com/r/RMTK/comments/a943eb/ks0003_kamerbrief_aangaande_het_sluiten_van/","Kamerbrief aangaande het sluiten van Chinese heropvoedingskampen ")</f>
        <v>Kamerbrief aangaande het sluiten van Chinese heropvoedingskampen </v>
      </c>
      <c r="F5" s="351"/>
      <c r="G5" s="252" t="s">
        <v>183</v>
      </c>
      <c r="H5" s="353"/>
      <c r="I5" s="354" t="s">
        <v>61</v>
      </c>
      <c r="J5" s="354"/>
    </row>
    <row r="6" ht="17.25" customHeight="1">
      <c r="B6" s="252" t="s">
        <v>821</v>
      </c>
      <c r="C6" s="479" t="s">
        <v>589</v>
      </c>
      <c r="D6" s="479" t="s">
        <v>176</v>
      </c>
      <c r="E6" s="551" t="str">
        <f>HYPERLINK("https://reddit.com/r/RMTK/comments/afvfe1/ks0004_kamerbrief_aangaande_politieke_moorden_die/","Kamerbrief aangaande politieke moorden die door de Iraanse overheid zijn aangestuurd")</f>
        <v>Kamerbrief aangaande politieke moorden die door de Iraanse overheid zijn aangestuurd</v>
      </c>
      <c r="F6" s="351"/>
      <c r="G6" s="252" t="s">
        <v>183</v>
      </c>
      <c r="H6" s="353"/>
      <c r="I6" s="354" t="s">
        <v>61</v>
      </c>
      <c r="J6" s="354"/>
    </row>
    <row r="7" ht="7.5" customHeight="1">
      <c r="A7" s="370"/>
      <c r="B7" s="374"/>
      <c r="C7" s="371"/>
      <c r="D7" s="371"/>
      <c r="E7" s="552"/>
      <c r="F7" s="373"/>
      <c r="G7" s="374"/>
      <c r="H7" s="375"/>
      <c r="I7" s="370"/>
      <c r="J7" s="370"/>
    </row>
    <row r="8" ht="17.25" customHeight="1">
      <c r="A8" s="347" t="s">
        <v>208</v>
      </c>
      <c r="B8" s="252" t="s">
        <v>822</v>
      </c>
      <c r="C8" s="479" t="s">
        <v>589</v>
      </c>
      <c r="D8" s="479" t="s">
        <v>102</v>
      </c>
      <c r="E8" s="553" t="str">
        <f>HYPERLINK("https://old.reddit.com/r/RMTK/comments/akq527/ks0005_kamerbrief_aangaande_de_situatie_in/?","Kamerbrief aangaande de situatie in Venezuela en de daarop te ondernemen acties")</f>
        <v>Kamerbrief aangaande de situatie in Venezuela en de daarop te ondernemen acties</v>
      </c>
      <c r="F8" s="351"/>
      <c r="G8" s="252" t="s">
        <v>823</v>
      </c>
      <c r="H8" s="353"/>
      <c r="I8" s="354" t="s">
        <v>61</v>
      </c>
      <c r="J8" s="354"/>
    </row>
    <row r="9" ht="17.25" customHeight="1">
      <c r="B9" s="252" t="s">
        <v>824</v>
      </c>
      <c r="C9" s="479" t="s">
        <v>589</v>
      </c>
      <c r="D9" s="479" t="s">
        <v>206</v>
      </c>
      <c r="E9" s="554" t="str">
        <f>hyperlink("https://old.reddit.com/r/RMTK/comments/apj19i/ks0007_kamerbrief_aangaande_nepleerlingen/","Kamerbrief aangaande nepleerlingen")</f>
        <v>Kamerbrief aangaande nepleerlingen</v>
      </c>
      <c r="F9" s="351"/>
      <c r="G9" s="252" t="s">
        <v>216</v>
      </c>
      <c r="H9" s="353"/>
      <c r="I9" s="354" t="s">
        <v>825</v>
      </c>
      <c r="J9" s="354"/>
    </row>
    <row r="10" ht="17.25" customHeight="1">
      <c r="B10" s="252" t="s">
        <v>826</v>
      </c>
      <c r="C10" s="479" t="s">
        <v>589</v>
      </c>
      <c r="D10" s="479" t="s">
        <v>172</v>
      </c>
      <c r="E10" s="554" t="str">
        <f>hyperlink("https://old.reddit.com/r/RMTK/comments/as0atq/ks0007_kamerbrief_aangaande_erkenning_van_een/","Kamerbrief aangaande erkenning van een president in Congo")</f>
        <v>Kamerbrief aangaande erkenning van een president in Congo</v>
      </c>
      <c r="F10" s="351"/>
      <c r="G10" s="252" t="s">
        <v>183</v>
      </c>
      <c r="H10" s="353"/>
      <c r="I10" s="354" t="s">
        <v>61</v>
      </c>
      <c r="J10" s="354"/>
    </row>
    <row r="11" ht="17.25" customHeight="1">
      <c r="B11" s="252" t="s">
        <v>827</v>
      </c>
      <c r="C11" s="479" t="s">
        <v>589</v>
      </c>
      <c r="D11" s="479" t="s">
        <v>206</v>
      </c>
      <c r="E11" s="554" t="str">
        <f>hyperlink("https://old.reddit.com/r/RMTK/comments/asr47d/ks0008_kamerbrief_ter_reactie_op_m0016_over_het/?","Kamerbrief ter reactie op M0016 over het inburgeringsproces")</f>
        <v>Kamerbrief ter reactie op M0016 over het inburgeringsproces</v>
      </c>
      <c r="F11" s="351"/>
      <c r="G11" s="252" t="s">
        <v>216</v>
      </c>
      <c r="H11" s="353"/>
      <c r="I11" s="354" t="s">
        <v>61</v>
      </c>
      <c r="J11" s="354"/>
    </row>
    <row r="12" ht="17.25" customHeight="1">
      <c r="B12" s="252" t="s">
        <v>828</v>
      </c>
      <c r="C12" s="479" t="s">
        <v>589</v>
      </c>
      <c r="D12" s="479" t="s">
        <v>206</v>
      </c>
      <c r="E12" s="554" t="str">
        <f>hyperlink("https://old.reddit.com/r/RMTK/comments/at6rev/ks0009_kamerbrief_aangaande_nederlandse_scholen/","Kamerbrief aangaande nederlandse scholen in het buitenland")</f>
        <v>Kamerbrief aangaande nederlandse scholen in het buitenland</v>
      </c>
      <c r="F12" s="351"/>
      <c r="G12" s="252" t="s">
        <v>216</v>
      </c>
      <c r="H12" s="353"/>
      <c r="I12" s="354" t="s">
        <v>61</v>
      </c>
      <c r="J12" s="354"/>
    </row>
    <row r="13" ht="17.25" customHeight="1">
      <c r="B13" s="252" t="s">
        <v>829</v>
      </c>
      <c r="C13" s="479" t="s">
        <v>589</v>
      </c>
      <c r="D13" s="479" t="s">
        <v>102</v>
      </c>
      <c r="E13" s="554" t="str">
        <f>hyperlink("https://old.reddit.com/r/RMTK/comments/auo7wa/ks0010_kamerbrief_aangaande_adopteren_wintertijd/?","Kamerbrief aangaande adopteren wintertijd")</f>
        <v>Kamerbrief aangaande adopteren wintertijd</v>
      </c>
      <c r="F13" s="351"/>
      <c r="G13" s="252" t="s">
        <v>173</v>
      </c>
      <c r="H13" s="353"/>
      <c r="I13" s="354" t="s">
        <v>61</v>
      </c>
      <c r="J13" s="354"/>
    </row>
    <row r="14" ht="17.25" customHeight="1">
      <c r="B14" s="252" t="s">
        <v>830</v>
      </c>
      <c r="C14" s="479" t="s">
        <v>589</v>
      </c>
      <c r="D14" s="479" t="s">
        <v>244</v>
      </c>
      <c r="E14" s="554" t="str">
        <f>hyperlink("https://old.reddit.com/r/RMTK/comments/avj2da/kb0011_kamerbrief_reactie_op_m0020_motie_tot_het/","Kamerbrief reactie op M0020 Motie tot het aanleggen van een spoorverbinding tussen Noord-Holland en Friesland")</f>
        <v>Kamerbrief reactie op M0020 Motie tot het aanleggen van een spoorverbinding tussen Noord-Holland en Friesland</v>
      </c>
      <c r="F14" s="353"/>
      <c r="G14" s="252" t="s">
        <v>236</v>
      </c>
      <c r="H14" s="353"/>
      <c r="I14" s="354" t="s">
        <v>831</v>
      </c>
      <c r="J14" s="354"/>
    </row>
    <row r="15" ht="7.5" customHeight="1">
      <c r="A15" s="370"/>
      <c r="B15" s="374"/>
      <c r="C15" s="371"/>
      <c r="D15" s="371"/>
      <c r="E15" s="552"/>
      <c r="F15" s="373"/>
      <c r="G15" s="374"/>
      <c r="H15" s="375"/>
      <c r="I15" s="370"/>
      <c r="J15" s="370"/>
    </row>
    <row r="16" ht="17.25" customHeight="1">
      <c r="A16" s="347" t="s">
        <v>241</v>
      </c>
      <c r="B16" s="555" t="s">
        <v>832</v>
      </c>
      <c r="C16" s="556" t="s">
        <v>589</v>
      </c>
      <c r="D16" s="556" t="s">
        <v>16</v>
      </c>
      <c r="E16" s="557" t="str">
        <f>hyperlink("https://old.reddit.com/r/RMTK/comments/bax0bk/ks0012_kamerbrief_aangaande_cpb_rapport_woningbouw/?","Kamerbrief aangaande CPB Rapport Woningbouw")</f>
        <v>Kamerbrief aangaande CPB Rapport Woningbouw</v>
      </c>
      <c r="F16" s="558"/>
      <c r="G16" s="555" t="s">
        <v>247</v>
      </c>
      <c r="H16" s="463"/>
      <c r="I16" s="559" t="s">
        <v>61</v>
      </c>
      <c r="J16" s="354"/>
    </row>
    <row r="17" ht="17.25" customHeight="1">
      <c r="B17" s="252" t="s">
        <v>833</v>
      </c>
      <c r="C17" s="479" t="s">
        <v>589</v>
      </c>
      <c r="D17" s="479" t="s">
        <v>206</v>
      </c>
      <c r="E17" s="560" t="str">
        <f>HYPERLINK("https://www.reddit.com/r/RMTK/comments/bbpj7f/ks0013_kamerbrief_verantwoording_vragen_ocw/","Kamerbrief verantwoording vragen OCW")</f>
        <v>Kamerbrief verantwoording vragen OCW</v>
      </c>
      <c r="F17" s="351"/>
      <c r="G17" s="252" t="s">
        <v>216</v>
      </c>
      <c r="H17" s="353"/>
      <c r="I17" s="354" t="s">
        <v>61</v>
      </c>
      <c r="J17" s="354"/>
    </row>
    <row r="18" ht="17.25" customHeight="1">
      <c r="B18" s="252" t="s">
        <v>834</v>
      </c>
      <c r="C18" s="479" t="s">
        <v>589</v>
      </c>
      <c r="D18" s="479" t="s">
        <v>16</v>
      </c>
      <c r="E18" s="551" t="str">
        <f>HYPERLINK("https://www.reddit.com/r/RMTK/comments/bc13zy/ks0014_kamerbrief_aangaande_start_onderzoek/","Kamerbrief aangaande start onderzoek Koningshuis")</f>
        <v>Kamerbrief aangaande start onderzoek Koningshuis</v>
      </c>
      <c r="F18" s="481"/>
      <c r="G18" s="561" t="s">
        <v>247</v>
      </c>
      <c r="H18" s="351"/>
      <c r="I18" s="354" t="s">
        <v>61</v>
      </c>
      <c r="J18" s="354"/>
    </row>
    <row r="19" ht="17.25" customHeight="1">
      <c r="B19" s="252" t="s">
        <v>835</v>
      </c>
      <c r="C19" s="479" t="s">
        <v>589</v>
      </c>
      <c r="D19" s="479" t="s">
        <v>16</v>
      </c>
      <c r="E19" s="551" t="str">
        <f>HYPERLINK("https://www.reddit.com/r/RMTK/comments/bf3ps7/ks0015_kamerbrief_aangaande_resultaten_onderzoek/","Kamerbrief aangaande resultaten onderzoek Koningshuis en debat daarover ")</f>
        <v>Kamerbrief aangaande resultaten onderzoek Koningshuis en debat daarover </v>
      </c>
      <c r="F19" s="351"/>
      <c r="G19" s="561" t="s">
        <v>247</v>
      </c>
      <c r="H19" s="353"/>
      <c r="I19" s="354" t="s">
        <v>61</v>
      </c>
      <c r="J19" s="354"/>
    </row>
    <row r="20" ht="17.25" customHeight="1">
      <c r="B20" s="252" t="s">
        <v>836</v>
      </c>
      <c r="C20" s="398" t="s">
        <v>837</v>
      </c>
      <c r="D20" s="398" t="s">
        <v>326</v>
      </c>
      <c r="E20" s="551" t="str">
        <f>HYPERLINK("https://www.reddit.com/r/RMTK/comments/bhq6ae/ks0016_rapport_parlementaire_onderzoekscommissie/","Rapport Parlementaire Onderzoekscommissie")</f>
        <v>Rapport Parlementaire Onderzoekscommissie</v>
      </c>
      <c r="F20" s="351"/>
      <c r="G20" s="252" t="s">
        <v>191</v>
      </c>
      <c r="H20" s="353"/>
      <c r="I20" s="354" t="s">
        <v>61</v>
      </c>
      <c r="J20" s="354"/>
    </row>
    <row r="21" ht="17.25" customHeight="1">
      <c r="B21" s="252" t="s">
        <v>838</v>
      </c>
      <c r="C21" s="479" t="s">
        <v>589</v>
      </c>
      <c r="D21" s="479" t="s">
        <v>206</v>
      </c>
      <c r="E21" s="551" t="str">
        <f>HYPERLINK("https://www.reddit.com/r/RMTK/comments/bmn749/ks0017_brief_inzake_gratis_toegang_rijksmusea/","Brief inzake gratis toegang Rijksmusea")</f>
        <v>Brief inzake gratis toegang Rijksmusea</v>
      </c>
      <c r="F21" s="351"/>
      <c r="G21" s="252" t="s">
        <v>216</v>
      </c>
      <c r="H21" s="353"/>
      <c r="I21" s="354" t="s">
        <v>61</v>
      </c>
      <c r="J21" s="354"/>
    </row>
    <row r="22" ht="7.5" customHeight="1">
      <c r="A22" s="370"/>
      <c r="B22" s="374"/>
      <c r="C22" s="371"/>
      <c r="D22" s="371"/>
      <c r="E22" s="552"/>
      <c r="F22" s="373"/>
      <c r="G22" s="374"/>
      <c r="H22" s="375"/>
      <c r="I22" s="370"/>
      <c r="J22" s="370"/>
    </row>
    <row r="23" ht="17.25" customHeight="1">
      <c r="A23" s="347" t="s">
        <v>263</v>
      </c>
      <c r="B23" s="252" t="s">
        <v>839</v>
      </c>
      <c r="C23" s="479" t="s">
        <v>589</v>
      </c>
      <c r="D23" s="479" t="s">
        <v>102</v>
      </c>
      <c r="E23" s="554" t="str">
        <f>hyperlink("https://old.reddit.com/r/RMTK/comments/brcrp9/ks0018_kamerbrief_aangaande_het_reisadvies_rond/?","Kamerbrief aangaande het reisadvies rond de Gazastrook")</f>
        <v>Kamerbrief aangaande het reisadvies rond de Gazastrook</v>
      </c>
      <c r="F23" s="351"/>
      <c r="G23" s="252" t="s">
        <v>183</v>
      </c>
      <c r="H23" s="353"/>
      <c r="I23" s="354" t="s">
        <v>61</v>
      </c>
      <c r="J23" s="354"/>
    </row>
    <row r="24" ht="17.25" customHeight="1">
      <c r="B24" s="252" t="s">
        <v>840</v>
      </c>
      <c r="C24" s="479" t="s">
        <v>589</v>
      </c>
      <c r="D24" s="479" t="s">
        <v>244</v>
      </c>
      <c r="E24" s="551" t="str">
        <f>HYPERLINK("https://www.reddit.com/r/RMTK/comments/c1pmoq/ks0019_kamerbrief_aangaande_klimaatnota_en/","Kamerbrief aangaande klimaatnota en klimaatplannen")</f>
        <v>Kamerbrief aangaande klimaatnota en klimaatplannen</v>
      </c>
      <c r="F24" s="351"/>
      <c r="G24" s="252" t="s">
        <v>236</v>
      </c>
      <c r="H24" s="353"/>
      <c r="I24" s="354" t="s">
        <v>61</v>
      </c>
      <c r="J24" s="354"/>
    </row>
    <row r="25" ht="17.25" customHeight="1">
      <c r="B25" s="252" t="s">
        <v>841</v>
      </c>
      <c r="C25" s="479" t="s">
        <v>589</v>
      </c>
      <c r="D25" s="479" t="s">
        <v>206</v>
      </c>
      <c r="E25" s="554" t="str">
        <f>hyperlink("https://old.reddit.com/r/RMTK/comments/c24vcl/ks0020_berekeningen_financi%C3%ABle_bijlage/","Berekeningen financiële bijlage regeerakkoord")</f>
        <v>Berekeningen financiële bijlage regeerakkoord</v>
      </c>
      <c r="F25" s="351"/>
      <c r="G25" s="252" t="s">
        <v>173</v>
      </c>
      <c r="H25" s="353"/>
      <c r="I25" s="354" t="s">
        <v>61</v>
      </c>
      <c r="J25" s="354"/>
    </row>
    <row r="26" ht="7.5" customHeight="1">
      <c r="A26" s="370"/>
      <c r="B26" s="374"/>
      <c r="C26" s="371"/>
      <c r="D26" s="371"/>
      <c r="E26" s="552"/>
      <c r="F26" s="373"/>
      <c r="G26" s="374"/>
      <c r="H26" s="375"/>
      <c r="I26" s="370"/>
      <c r="J26" s="370"/>
    </row>
    <row r="27" ht="17.25" customHeight="1">
      <c r="A27" s="347" t="s">
        <v>299</v>
      </c>
      <c r="B27" s="252" t="s">
        <v>842</v>
      </c>
      <c r="C27" s="479" t="s">
        <v>589</v>
      </c>
      <c r="D27" s="479" t="s">
        <v>176</v>
      </c>
      <c r="E27" s="554" t="str">
        <f>HYPERLINK("https://www.reddit.com/r/RMTK/comments/cbic6i/ks0021_kamerbrief_aangaande_realisatie/","Brief aangaande realisatie Nedersaksenlijn")</f>
        <v>Brief aangaande realisatie Nedersaksenlijn</v>
      </c>
      <c r="F27" s="351"/>
      <c r="G27" s="252" t="s">
        <v>250</v>
      </c>
      <c r="H27" s="353"/>
      <c r="I27" s="354" t="s">
        <v>61</v>
      </c>
      <c r="J27" s="354"/>
    </row>
    <row r="28" ht="17.25" customHeight="1">
      <c r="B28" s="252" t="s">
        <v>843</v>
      </c>
      <c r="C28" s="479" t="s">
        <v>589</v>
      </c>
      <c r="D28" s="479" t="s">
        <v>176</v>
      </c>
      <c r="E28" s="554" t="str">
        <f>HYPERLINK("https://www.reddit.com/r/RMTK/comments/cdkhev/ks0022_brief_aangaande_preventie/","Brief aangaande Preventie Eikenprocessierups")</f>
        <v>Brief aangaande Preventie Eikenprocessierups</v>
      </c>
      <c r="F28" s="351"/>
      <c r="G28" s="252" t="s">
        <v>250</v>
      </c>
      <c r="H28" s="353"/>
      <c r="I28" s="354" t="s">
        <v>61</v>
      </c>
      <c r="J28" s="354"/>
    </row>
    <row r="29" ht="17.25" customHeight="1">
      <c r="B29" s="252" t="s">
        <v>844</v>
      </c>
      <c r="C29" s="479" t="s">
        <v>589</v>
      </c>
      <c r="D29" s="479" t="s">
        <v>102</v>
      </c>
      <c r="E29" s="551" t="str">
        <f>HYPERLINK("https://www.reddit.com/r/RMTK/comments/cdxtkt/ks0023_kamerbrief_aangaande_verzoek_aan_permanent/","Kamerbrief aangaande verzoek aan Permanent Hof van Arbitrage ")</f>
        <v>Kamerbrief aangaande verzoek aan Permanent Hof van Arbitrage </v>
      </c>
      <c r="F29" s="351"/>
      <c r="G29" s="252" t="s">
        <v>183</v>
      </c>
      <c r="H29" s="353"/>
      <c r="I29" s="354" t="s">
        <v>61</v>
      </c>
      <c r="J29" s="354"/>
    </row>
    <row r="30" ht="17.25" customHeight="1">
      <c r="B30" s="252" t="s">
        <v>845</v>
      </c>
      <c r="C30" s="479" t="s">
        <v>589</v>
      </c>
      <c r="D30" s="479" t="s">
        <v>201</v>
      </c>
      <c r="E30" s="554" t="str">
        <f>HYPERLINK("https://www.reddit.com/r/RMTK/comments/cjeyca/ks0024_kamerbrief_aangaande_de_vaccinatiegraad/","Kamerbrief aangaande de vaccinatiegraad")</f>
        <v>Kamerbrief aangaande de vaccinatiegraad</v>
      </c>
      <c r="F30" s="351"/>
      <c r="G30" s="252" t="s">
        <v>253</v>
      </c>
      <c r="H30" s="353"/>
      <c r="I30" s="354" t="s">
        <v>61</v>
      </c>
      <c r="J30" s="354"/>
    </row>
    <row r="31" ht="17.25" customHeight="1">
      <c r="B31" s="252" t="s">
        <v>846</v>
      </c>
      <c r="C31" s="479" t="s">
        <v>589</v>
      </c>
      <c r="D31" s="479" t="s">
        <v>294</v>
      </c>
      <c r="E31" s="554" t="str">
        <f>HYPERLINK("https://www.reddit.com/r/RMTK/comments/cn3ere/ks0025_kamerbrief_betreft_reactie_op_aangenomen/","Kamerbrief betreft reactie op aangenomen moties K&amp;N")</f>
        <v>Kamerbrief betreft reactie op aangenomen moties K&amp;N</v>
      </c>
      <c r="F31" s="351"/>
      <c r="G31" s="252" t="s">
        <v>250</v>
      </c>
      <c r="H31" s="353"/>
      <c r="I31" s="354" t="s">
        <v>61</v>
      </c>
      <c r="J31" s="354"/>
    </row>
    <row r="32" ht="17.25" customHeight="1">
      <c r="B32" s="252" t="s">
        <v>847</v>
      </c>
      <c r="C32" s="479" t="s">
        <v>589</v>
      </c>
      <c r="D32" s="479" t="s">
        <v>282</v>
      </c>
      <c r="E32" s="554" t="str">
        <f>HYPERLINK("https://www.reddit.com/r/RMTK/comments/co0oud/ks0026_kamerbrief_omtrent_discretionaire/","Kamerbrief omtrent discretionaire bevoegdheid voor immigratie")</f>
        <v>Kamerbrief omtrent discretionaire bevoegdheid voor immigratie</v>
      </c>
      <c r="F32" s="351"/>
      <c r="G32" s="252" t="s">
        <v>198</v>
      </c>
      <c r="H32" s="353"/>
      <c r="I32" s="354" t="s">
        <v>61</v>
      </c>
      <c r="J32" s="354"/>
    </row>
    <row r="33" ht="17.25" customHeight="1">
      <c r="B33" s="252" t="s">
        <v>848</v>
      </c>
      <c r="C33" s="479" t="s">
        <v>589</v>
      </c>
      <c r="D33" s="479" t="s">
        <v>136</v>
      </c>
      <c r="E33" s="554" t="str">
        <f>HYPERLINK("https://www.reddit.com/r/RMTK/comments/cpghk3/kamerbrief_aangaande_publicatie_rapport_wet/","Kamerbrief aangaande publicatie Rapport Wet nationaal Woonplan")</f>
        <v>Kamerbrief aangaande publicatie Rapport Wet nationaal Woonplan</v>
      </c>
      <c r="F33" s="351"/>
      <c r="G33" s="252" t="s">
        <v>247</v>
      </c>
      <c r="H33" s="353"/>
      <c r="I33" s="354" t="s">
        <v>61</v>
      </c>
      <c r="J33" s="354"/>
    </row>
    <row r="34" ht="17.25" customHeight="1">
      <c r="B34" s="252" t="s">
        <v>849</v>
      </c>
      <c r="C34" s="479" t="s">
        <v>589</v>
      </c>
      <c r="D34" s="479" t="s">
        <v>282</v>
      </c>
      <c r="E34" s="554" t="str">
        <f>HYPERLINK("https://www.reddit.com/r/RMTK/comments/cr3zii/ks0028_kamerbrief_aangaande_gegevens_rondom/","Kamerbrief aangaande gegevens rondom incidenten asielzoekers")</f>
        <v>Kamerbrief aangaande gegevens rondom incidenten asielzoekers</v>
      </c>
      <c r="F34" s="351"/>
      <c r="G34" s="252" t="s">
        <v>198</v>
      </c>
      <c r="H34" s="353"/>
      <c r="I34" s="354" t="s">
        <v>61</v>
      </c>
      <c r="J34" s="354"/>
    </row>
    <row r="35" ht="17.25" customHeight="1">
      <c r="B35" s="252" t="s">
        <v>850</v>
      </c>
      <c r="C35" s="479" t="s">
        <v>589</v>
      </c>
      <c r="D35" s="479" t="s">
        <v>294</v>
      </c>
      <c r="E35" s="554" t="str">
        <f>HYPERLINK("https://www.reddit.com/r/RMTK/comments/csgdiv/ks0029_kamerbrief_aangaande_het_klimaatjaarverslag/","Kamerbrief aangaande het Klimaatjaarverslag")</f>
        <v>Kamerbrief aangaande het Klimaatjaarverslag</v>
      </c>
      <c r="F35" s="351"/>
      <c r="G35" s="252" t="s">
        <v>250</v>
      </c>
      <c r="H35" s="353"/>
      <c r="I35" s="354" t="s">
        <v>61</v>
      </c>
      <c r="J35" s="354"/>
    </row>
    <row r="36" ht="17.25" customHeight="1">
      <c r="B36" s="252" t="s">
        <v>851</v>
      </c>
      <c r="C36" s="479" t="s">
        <v>589</v>
      </c>
      <c r="D36" s="479" t="s">
        <v>197</v>
      </c>
      <c r="E36" s="554" t="str">
        <f>HYPERLINK("https://www.reddit.com/r/RMTK/comments/ctksvu/ks0030_kamerbrief_aangaande_aanschaf_f35/","Kamerbrief aangaande aanschaf F-35")</f>
        <v>Kamerbrief aangaande aanschaf F-35</v>
      </c>
      <c r="F36" s="351"/>
      <c r="G36" s="252" t="s">
        <v>177</v>
      </c>
      <c r="H36" s="353"/>
      <c r="I36" s="354" t="s">
        <v>61</v>
      </c>
      <c r="J36" s="354"/>
    </row>
    <row r="37" ht="17.25" customHeight="1">
      <c r="B37" s="252" t="s">
        <v>852</v>
      </c>
      <c r="C37" s="479" t="s">
        <v>589</v>
      </c>
      <c r="D37" s="479" t="s">
        <v>16</v>
      </c>
      <c r="E37" s="554" t="str">
        <f>HYPERLINK("https://www.reddit.com/r/RMTK/comments/cvotsp/ks0031_kamerbrief_aangaande_recente_zaken/","Kamerbrief aangaande recente zaken Financiën")</f>
        <v>Kamerbrief aangaande recente zaken Financiën</v>
      </c>
      <c r="F37" s="351"/>
      <c r="G37" s="252" t="s">
        <v>309</v>
      </c>
      <c r="H37" s="353"/>
      <c r="I37" s="354" t="s">
        <v>61</v>
      </c>
      <c r="J37" s="354"/>
    </row>
    <row r="38" ht="17.25" customHeight="1">
      <c r="B38" s="252" t="s">
        <v>853</v>
      </c>
      <c r="C38" s="479" t="s">
        <v>589</v>
      </c>
      <c r="D38" s="479" t="s">
        <v>102</v>
      </c>
      <c r="E38" s="554" t="str">
        <f>HYPERLINK("https://www.reddit.com/r/RMTK/comments/cyt7s6/ks0032_kamerbrief_aangaande_tweedaags_amerikaans/","Kamerbrief aangaande tweedaags Amerikaans staatsbezoek en NAVO-top in Nederland")</f>
        <v>Kamerbrief aangaande tweedaags Amerikaans staatsbezoek en NAVO-top in Nederland</v>
      </c>
      <c r="F38" s="351"/>
      <c r="G38" s="252" t="s">
        <v>183</v>
      </c>
      <c r="H38" s="353"/>
      <c r="I38" s="354" t="s">
        <v>61</v>
      </c>
      <c r="J38" s="354"/>
    </row>
    <row r="39" ht="17.25" customHeight="1">
      <c r="B39" s="252" t="s">
        <v>854</v>
      </c>
      <c r="C39" s="479" t="s">
        <v>589</v>
      </c>
      <c r="D39" s="479" t="s">
        <v>282</v>
      </c>
      <c r="E39" s="554" t="str">
        <f>HYPERLINK("https://www.reddit.com/r/RMTK/comments/d00zna/ks0033_kamerbrief_aangaande_storingen_bij_het/","Kamerbrief aangaande storingen bij het alarmnummer 112")</f>
        <v>Kamerbrief aangaande storingen bij het alarmnummer 112</v>
      </c>
      <c r="F39" s="351"/>
      <c r="G39" s="252" t="s">
        <v>198</v>
      </c>
      <c r="H39" s="353"/>
      <c r="I39" s="354" t="s">
        <v>61</v>
      </c>
      <c r="J39" s="354"/>
    </row>
    <row r="40" ht="17.25" customHeight="1">
      <c r="B40" s="252" t="s">
        <v>855</v>
      </c>
      <c r="C40" s="479" t="s">
        <v>589</v>
      </c>
      <c r="D40" s="479" t="s">
        <v>16</v>
      </c>
      <c r="E40" s="562" t="str">
        <f>HYPERLINK("https://www.reddit.com/r/RMTK/comments/d1s94p/ks0034_nota_van_verantwoordingsdag_begrotingsjaar/","Nota van Verantwoordingsdag Begrotingsjaar 1")</f>
        <v>Nota van Verantwoordingsdag Begrotingsjaar 1</v>
      </c>
      <c r="F40" s="351"/>
      <c r="G40" s="252" t="s">
        <v>309</v>
      </c>
      <c r="H40" s="353"/>
      <c r="I40" s="354" t="s">
        <v>61</v>
      </c>
      <c r="J40" s="354"/>
    </row>
    <row r="41" ht="17.25" customHeight="1">
      <c r="B41" s="252" t="s">
        <v>856</v>
      </c>
      <c r="C41" s="479" t="s">
        <v>589</v>
      </c>
      <c r="D41" s="479" t="s">
        <v>294</v>
      </c>
      <c r="E41" s="554" t="str">
        <f>HYPERLINK("https://www.reddit.com/r/RMTK/comments/d29t81/ks0035_kamerbrief_aangaande_een_update_van_het/","Kamerbrief aangaande een update van het Klimaatplan")</f>
        <v>Kamerbrief aangaande een update van het Klimaatplan</v>
      </c>
      <c r="F41" s="351"/>
      <c r="G41" s="252" t="s">
        <v>250</v>
      </c>
      <c r="H41" s="353"/>
      <c r="I41" s="354" t="s">
        <v>61</v>
      </c>
      <c r="J41" s="354"/>
    </row>
    <row r="42" ht="17.25" customHeight="1">
      <c r="B42" s="252" t="s">
        <v>857</v>
      </c>
      <c r="C42" s="479" t="s">
        <v>589</v>
      </c>
      <c r="D42" s="479" t="s">
        <v>176</v>
      </c>
      <c r="E42" s="554" t="str">
        <f>HYPERLINK("https://www.reddit.com/r/RMTK/comments/d5782p/ks0036_kamerbrief_aangaande_diverse/","Kamerbrief aangaande diverse infrastructurele moties")</f>
        <v>Kamerbrief aangaande diverse infrastructurele moties</v>
      </c>
      <c r="F42" s="351"/>
      <c r="G42" s="252" t="s">
        <v>250</v>
      </c>
      <c r="H42" s="353"/>
      <c r="I42" s="354" t="s">
        <v>61</v>
      </c>
      <c r="J42" s="354"/>
    </row>
    <row r="43" ht="17.25" customHeight="1">
      <c r="B43" s="252" t="s">
        <v>858</v>
      </c>
      <c r="C43" s="479" t="s">
        <v>589</v>
      </c>
      <c r="D43" s="479" t="s">
        <v>308</v>
      </c>
      <c r="E43" s="563" t="str">
        <f>HYPERLINK("https://www.reddit.com/r/RMTK/comments/d6jk2w/ks0037_kamerbrief_inzake_engels_in_het/","Kamerbrief inzake Engels in het basisonderwijs en aansturing decanen voortgezet onderwijs")</f>
        <v>Kamerbrief inzake Engels in het basisonderwijs en aansturing decanen voortgezet onderwijs</v>
      </c>
      <c r="F43" s="351"/>
      <c r="G43" s="252" t="s">
        <v>216</v>
      </c>
      <c r="H43" s="353"/>
      <c r="I43" s="354" t="s">
        <v>61</v>
      </c>
      <c r="J43" s="354"/>
    </row>
    <row r="44" ht="17.25" customHeight="1">
      <c r="B44" s="252" t="s">
        <v>859</v>
      </c>
      <c r="C44" s="479" t="s">
        <v>589</v>
      </c>
      <c r="D44" s="479" t="s">
        <v>201</v>
      </c>
      <c r="E44" s="554" t="str">
        <f>HYPERLINK("https://www.reddit.com/r/RMTK/comments/d8u4wo/ks0038_kamerbrief_aangaande_meerdere_kamerstukken/","Kamerbrief aangaande meerdere kamerstukken en mijn afwezigheid")</f>
        <v>Kamerbrief aangaande meerdere kamerstukken en mijn afwezigheid</v>
      </c>
      <c r="F44" s="351"/>
      <c r="G44" s="252" t="s">
        <v>253</v>
      </c>
      <c r="H44" s="353"/>
      <c r="I44" s="354" t="s">
        <v>61</v>
      </c>
      <c r="J44" s="354"/>
    </row>
    <row r="45" ht="7.5" customHeight="1">
      <c r="A45" s="370"/>
      <c r="B45" s="374"/>
      <c r="C45" s="371"/>
      <c r="D45" s="371"/>
      <c r="E45" s="552"/>
      <c r="F45" s="373"/>
      <c r="G45" s="374"/>
      <c r="H45" s="375"/>
      <c r="I45" s="370"/>
      <c r="J45" s="370"/>
    </row>
    <row r="46" ht="17.25" customHeight="1">
      <c r="A46" s="347" t="s">
        <v>351</v>
      </c>
      <c r="B46" s="252" t="s">
        <v>860</v>
      </c>
      <c r="C46" s="479" t="s">
        <v>589</v>
      </c>
      <c r="D46" s="479" t="s">
        <v>294</v>
      </c>
      <c r="E46" s="554" t="str">
        <f>HYPERLINK("https://www.reddit.com/r/RMTK/comments/dkz47t/ks0038_kamerbrief_aangaande_het_klimaatplan_en_de/","Kamerbrief aangaande het klimaatplan en de op te richten klimaatplancommissie")</f>
        <v>Kamerbrief aangaande het klimaatplan en de op te richten klimaatplancommissie</v>
      </c>
      <c r="F46" s="351"/>
      <c r="G46" s="252" t="s">
        <v>646</v>
      </c>
      <c r="H46" s="353"/>
      <c r="I46" s="354" t="s">
        <v>61</v>
      </c>
      <c r="J46" s="354"/>
    </row>
    <row r="47" ht="17.25" customHeight="1">
      <c r="B47" s="252" t="s">
        <v>861</v>
      </c>
      <c r="C47" s="479" t="s">
        <v>589</v>
      </c>
      <c r="D47" s="479" t="s">
        <v>111</v>
      </c>
      <c r="E47" s="554" t="str">
        <f>HYPERLINK("https://www.reddit.com/r/RMTK/comments/dljb5q/ks0039_kamerbrief_aangaande_diverse_moties/","Kamerbrief aangaande diverse moties betreffende K&amp;N")</f>
        <v>Kamerbrief aangaande diverse moties betreffende K&amp;N</v>
      </c>
      <c r="F47" s="351"/>
      <c r="G47" s="252" t="s">
        <v>363</v>
      </c>
      <c r="H47" s="353"/>
      <c r="I47" s="354" t="s">
        <v>61</v>
      </c>
      <c r="J47" s="354"/>
    </row>
    <row r="48" ht="17.25" customHeight="1">
      <c r="B48" s="252" t="s">
        <v>862</v>
      </c>
      <c r="C48" s="564" t="s">
        <v>589</v>
      </c>
      <c r="D48" s="564" t="s">
        <v>16</v>
      </c>
      <c r="E48" s="554" t="str">
        <f>HYPERLINK("https://www.reddit.com/r/RMTK/comments/dwcb89/ks0040_kamerbrief_aangaande_recentelijk/","Kamerbrief aangaande recentelijk aangenomen moties (0114-0116)")</f>
        <v>Kamerbrief aangaande recentelijk aangenomen moties (0114-0116)</v>
      </c>
      <c r="F48" s="351"/>
      <c r="G48" s="252" t="s">
        <v>173</v>
      </c>
      <c r="H48" s="353"/>
      <c r="I48" s="354" t="s">
        <v>61</v>
      </c>
      <c r="J48" s="354"/>
    </row>
    <row r="49" ht="17.25" customHeight="1">
      <c r="B49" s="252" t="s">
        <v>863</v>
      </c>
      <c r="C49" s="564" t="s">
        <v>589</v>
      </c>
      <c r="D49" s="479" t="s">
        <v>294</v>
      </c>
      <c r="E49" s="554" t="str">
        <f>HYPERLINK("https://www.reddit.com/r/RMTK/comments/dy8u9e/ks0041_kamerbrief_over_de_vorderingen_van_de/","Kamerbrief over de vorderingen van de klimaatplancommissie")</f>
        <v>Kamerbrief over de vorderingen van de klimaatplancommissie</v>
      </c>
      <c r="F49" s="351"/>
      <c r="G49" s="252" t="s">
        <v>646</v>
      </c>
      <c r="H49" s="353"/>
      <c r="I49" s="354" t="s">
        <v>61</v>
      </c>
      <c r="J49" s="354"/>
    </row>
    <row r="50" ht="17.25" customHeight="1">
      <c r="B50" s="252" t="s">
        <v>864</v>
      </c>
      <c r="C50" s="564" t="s">
        <v>589</v>
      </c>
      <c r="D50" s="564" t="s">
        <v>16</v>
      </c>
      <c r="E50" s="554" t="str">
        <f>hyperlink("https://www.reddit.com/r/RMTK/comments/dynzzb/ks0042_kamerbrief_ter_reactie_op_aangenomen/","Kamerbrief ter reactie op aangenomen moties (0117-0121)")</f>
        <v>Kamerbrief ter reactie op aangenomen moties (0117-0121)</v>
      </c>
      <c r="F50" s="351"/>
      <c r="G50" s="252" t="s">
        <v>173</v>
      </c>
      <c r="H50" s="353"/>
      <c r="I50" s="354" t="s">
        <v>61</v>
      </c>
      <c r="J50" s="354"/>
    </row>
    <row r="51" ht="17.25" customHeight="1">
      <c r="B51" s="252" t="s">
        <v>865</v>
      </c>
      <c r="C51" s="564" t="s">
        <v>589</v>
      </c>
      <c r="D51" s="479" t="s">
        <v>866</v>
      </c>
      <c r="E51" s="565" t="str">
        <f>hyperlink("https://www.reddit.com/r/RMTK/comments/e2i01k/ks0043_update_van_werkzaamheden_minister/","Update van werkzaamheden minister /u/sushishine")</f>
        <v>Update van werkzaamheden minister /u/sushishine</v>
      </c>
      <c r="F51" s="351"/>
      <c r="G51" s="252" t="s">
        <v>363</v>
      </c>
      <c r="H51" s="353"/>
      <c r="I51" s="354" t="s">
        <v>61</v>
      </c>
      <c r="J51" s="354"/>
    </row>
    <row r="52" ht="17.25" customHeight="1">
      <c r="B52" s="252" t="s">
        <v>867</v>
      </c>
      <c r="C52" s="479" t="s">
        <v>589</v>
      </c>
      <c r="D52" s="479" t="s">
        <v>182</v>
      </c>
      <c r="E52" s="566" t="str">
        <f>hyperlink("https://www.reddit.com/r/RMTK/comments/e2z3ps/ks0044_kamerbrief_bezoek_zweden/","Kamerbrief bezoek Zweden")</f>
        <v>Kamerbrief bezoek Zweden</v>
      </c>
      <c r="F52" s="351"/>
      <c r="G52" s="252" t="s">
        <v>361</v>
      </c>
      <c r="H52" s="353"/>
      <c r="I52" s="354" t="s">
        <v>61</v>
      </c>
      <c r="J52" s="354"/>
    </row>
    <row r="53" ht="7.5" customHeight="1">
      <c r="A53" s="370"/>
      <c r="B53" s="374"/>
      <c r="C53" s="371"/>
      <c r="D53" s="371"/>
      <c r="E53" s="552"/>
      <c r="F53" s="373"/>
      <c r="G53" s="374"/>
      <c r="H53" s="375"/>
      <c r="I53" s="370"/>
      <c r="J53" s="370"/>
    </row>
    <row r="54" ht="17.25" customHeight="1">
      <c r="A54" s="347" t="s">
        <v>380</v>
      </c>
      <c r="B54" s="252" t="s">
        <v>868</v>
      </c>
      <c r="C54" s="564" t="s">
        <v>589</v>
      </c>
      <c r="D54" s="564" t="s">
        <v>16</v>
      </c>
      <c r="E54" s="562" t="str">
        <f>HYPERLINK("https://www.reddit.com/r/RMTK/comments/e7m5ms/ks0045_nota_aangaande_verantwoordingsdag/","Nota aangaande Verantwoordingsdag Begrotingsjaar II")</f>
        <v>Nota aangaande Verantwoordingsdag Begrotingsjaar II</v>
      </c>
      <c r="F54" s="351"/>
      <c r="G54" s="252" t="s">
        <v>218</v>
      </c>
      <c r="H54" s="353"/>
      <c r="I54" s="354" t="s">
        <v>61</v>
      </c>
      <c r="J54" s="354"/>
    </row>
    <row r="55" ht="17.25" customHeight="1">
      <c r="B55" s="252" t="s">
        <v>869</v>
      </c>
      <c r="C55" s="564" t="s">
        <v>589</v>
      </c>
      <c r="D55" s="479" t="s">
        <v>37</v>
      </c>
      <c r="E55" s="554" t="str">
        <f>HYPERLINK("https://www.reddit.com/r/RMTK/comments/eccq4e/ks0046_kamerbrief_aangaande_aangenomen_motie_m0129/","Kamerbrief aangaande aangenomen motie M0129")</f>
        <v>Kamerbrief aangaande aangenomen motie M0129</v>
      </c>
      <c r="F55" s="351"/>
      <c r="G55" s="252" t="s">
        <v>376</v>
      </c>
      <c r="H55" s="353"/>
      <c r="I55" s="354" t="s">
        <v>61</v>
      </c>
      <c r="J55" s="354"/>
    </row>
    <row r="56" ht="17.25" customHeight="1">
      <c r="B56" s="252" t="s">
        <v>870</v>
      </c>
      <c r="C56" s="564" t="s">
        <v>589</v>
      </c>
      <c r="D56" s="479" t="s">
        <v>37</v>
      </c>
      <c r="E56" s="554" t="str">
        <f>HYPERLINK("https://www.reddit.com/r/RMTK/comments/e9flpx/ks0047_kamerbrief_aangaande_toelichting/","Kamerbrief aangaande toelichting Miljoenennota 2020 betreffende Klimaat en Infrastructuur")</f>
        <v>Kamerbrief aangaande toelichting Miljoenennota 2020 betreffende Klimaat en Infrastructuur</v>
      </c>
      <c r="F56" s="351"/>
      <c r="G56" s="252" t="s">
        <v>376</v>
      </c>
      <c r="H56" s="353"/>
      <c r="I56" s="354" t="s">
        <v>61</v>
      </c>
      <c r="J56" s="354"/>
    </row>
    <row r="57" ht="17.25" customHeight="1">
      <c r="B57" s="252" t="s">
        <v>871</v>
      </c>
      <c r="C57" s="564" t="s">
        <v>589</v>
      </c>
      <c r="D57" s="479" t="s">
        <v>37</v>
      </c>
      <c r="E57" s="554" t="str">
        <f>HYPERLINK("https://www.reddit.com/r/RMTK/comments/ebv0ue/ks0048_kamerbrief_aangaande_het_voortzetten_van/","Kamerbrief aangaande het voortzetten van het klimaatplan")</f>
        <v>Kamerbrief aangaande het voortzetten van het klimaatplan</v>
      </c>
      <c r="F57" s="351"/>
      <c r="G57" s="252" t="s">
        <v>376</v>
      </c>
      <c r="H57" s="353"/>
      <c r="I57" s="354" t="s">
        <v>61</v>
      </c>
      <c r="J57" s="354"/>
    </row>
    <row r="58" ht="17.25" customHeight="1">
      <c r="B58" s="252" t="s">
        <v>872</v>
      </c>
      <c r="C58" s="564" t="s">
        <v>589</v>
      </c>
      <c r="D58" s="479" t="s">
        <v>252</v>
      </c>
      <c r="E58" s="554" t="str">
        <f>hyperlink("https://www.reddit.com/r/RMTK/comments/f7adfd/ks0049_kamerbrief_stand_van_zaken_aanpassing/","Kamerbrief Stand van zaken aanpassing EO-005 USA")</f>
        <v>Kamerbrief Stand van zaken aanpassing EO-005 USA</v>
      </c>
      <c r="F58" s="351"/>
      <c r="G58" s="252" t="s">
        <v>385</v>
      </c>
      <c r="H58" s="353"/>
      <c r="I58" s="354" t="s">
        <v>61</v>
      </c>
      <c r="J58" s="354"/>
    </row>
    <row r="59" ht="17.25" customHeight="1">
      <c r="B59" s="252" t="s">
        <v>873</v>
      </c>
      <c r="C59" s="564" t="s">
        <v>589</v>
      </c>
      <c r="D59" s="479" t="s">
        <v>101</v>
      </c>
      <c r="E59" s="554" t="str">
        <f>HYPERLINK("https://www.reddit.com/r/RMTK/comments/fcbr2u/ks0050_kamerbrief_met_betrekking_tot_de_situatie/","Kamerbrief met betrekking tot de situatie op het Ministerie van Binnenlandse Zaken")</f>
        <v>Kamerbrief met betrekking tot de situatie op het Ministerie van Binnenlandse Zaken</v>
      </c>
      <c r="F59" s="351"/>
      <c r="G59" s="252" t="s">
        <v>358</v>
      </c>
      <c r="H59" s="353"/>
      <c r="I59" s="354" t="s">
        <v>61</v>
      </c>
      <c r="J59" s="354"/>
    </row>
    <row r="60" ht="17.25" customHeight="1">
      <c r="B60" s="252" t="s">
        <v>874</v>
      </c>
      <c r="C60" s="564" t="s">
        <v>589</v>
      </c>
      <c r="D60" s="564" t="s">
        <v>16</v>
      </c>
      <c r="E60" s="562" t="str">
        <f>HYPERLINK("https://www.reddit.com/r/RMTK/comments/fekuru/ks0051_nota_aangaande_verantwoordingsdag/","Nota aangaande Verantwoordingsdag begrotingsjaar 3")</f>
        <v>Nota aangaande Verantwoordingsdag begrotingsjaar 3</v>
      </c>
      <c r="F60" s="351"/>
      <c r="G60" s="252" t="s">
        <v>218</v>
      </c>
      <c r="H60" s="353"/>
      <c r="I60" s="354" t="s">
        <v>61</v>
      </c>
      <c r="J60" s="354"/>
    </row>
    <row r="61" ht="7.5" customHeight="1">
      <c r="A61" s="370"/>
      <c r="B61" s="374"/>
      <c r="C61" s="371"/>
      <c r="D61" s="371"/>
      <c r="E61" s="552"/>
      <c r="F61" s="373"/>
      <c r="G61" s="374"/>
      <c r="H61" s="375"/>
      <c r="I61" s="370"/>
      <c r="J61" s="370"/>
    </row>
    <row r="62" ht="17.25" customHeight="1">
      <c r="A62" s="347" t="s">
        <v>402</v>
      </c>
      <c r="B62" s="252" t="s">
        <v>875</v>
      </c>
      <c r="C62" s="564" t="s">
        <v>589</v>
      </c>
      <c r="D62" s="564" t="s">
        <v>16</v>
      </c>
      <c r="E62" s="567" t="str">
        <f>HYPERLINK("https://www.reddit.com/r/RMTK/comments/fx8056/ks0052_kamerbrief_aangaande_informeren_over/","Kamerbrief aangaande informeren over gemaakte fouten op het Ministerie van Financiën en Economische Zaken bij het opstellen van de nota's aangaande Verantwoordingsdag Begrotingsjaar II en III")</f>
        <v>Kamerbrief aangaande informeren over gemaakte fouten op het Ministerie van Financiën en Economische Zaken bij het opstellen van de nota's aangaande Verantwoordingsdag Begrotingsjaar II en III</v>
      </c>
      <c r="F62" s="353"/>
      <c r="G62" s="252" t="s">
        <v>218</v>
      </c>
      <c r="H62" s="353"/>
      <c r="I62" s="354" t="s">
        <v>61</v>
      </c>
      <c r="J62" s="354"/>
    </row>
    <row r="63" ht="17.25" customHeight="1">
      <c r="B63" s="252" t="s">
        <v>876</v>
      </c>
      <c r="C63" s="564" t="s">
        <v>589</v>
      </c>
      <c r="D63" s="479" t="s">
        <v>176</v>
      </c>
      <c r="E63" s="447" t="s">
        <v>877</v>
      </c>
      <c r="F63" s="353"/>
      <c r="G63" s="252" t="s">
        <v>216</v>
      </c>
      <c r="H63" s="353"/>
      <c r="I63" s="354" t="s">
        <v>61</v>
      </c>
      <c r="J63" s="354"/>
    </row>
    <row r="64" ht="17.25" customHeight="1">
      <c r="B64" s="252" t="s">
        <v>878</v>
      </c>
      <c r="C64" s="564" t="s">
        <v>589</v>
      </c>
      <c r="D64" s="479" t="s">
        <v>176</v>
      </c>
      <c r="E64" s="447" t="s">
        <v>879</v>
      </c>
      <c r="F64" s="353"/>
      <c r="G64" s="252" t="s">
        <v>216</v>
      </c>
      <c r="H64" s="353"/>
      <c r="I64" s="354" t="s">
        <v>61</v>
      </c>
      <c r="J64" s="354"/>
    </row>
    <row r="65" ht="17.25" customHeight="1">
      <c r="B65" s="252" t="s">
        <v>880</v>
      </c>
      <c r="C65" s="564" t="s">
        <v>589</v>
      </c>
      <c r="D65" s="564" t="s">
        <v>16</v>
      </c>
      <c r="E65" s="568" t="s">
        <v>881</v>
      </c>
      <c r="F65" s="353"/>
      <c r="G65" s="444" t="s">
        <v>173</v>
      </c>
      <c r="H65" s="353"/>
      <c r="I65" s="354" t="s">
        <v>61</v>
      </c>
      <c r="J65" s="354"/>
    </row>
    <row r="66" ht="17.25" customHeight="1">
      <c r="B66" s="252" t="s">
        <v>882</v>
      </c>
      <c r="C66" s="564" t="s">
        <v>589</v>
      </c>
      <c r="D66" s="564" t="s">
        <v>16</v>
      </c>
      <c r="E66" s="447" t="s">
        <v>883</v>
      </c>
      <c r="F66" s="353"/>
      <c r="G66" s="252" t="s">
        <v>173</v>
      </c>
      <c r="H66" s="353"/>
      <c r="I66" s="354" t="s">
        <v>61</v>
      </c>
      <c r="J66" s="354"/>
    </row>
    <row r="67" ht="17.25" customHeight="1">
      <c r="B67" s="252" t="s">
        <v>884</v>
      </c>
      <c r="C67" s="569" t="s">
        <v>589</v>
      </c>
      <c r="D67" s="569" t="s">
        <v>182</v>
      </c>
      <c r="E67" s="570" t="s">
        <v>885</v>
      </c>
      <c r="F67" s="353"/>
      <c r="G67" s="252" t="s">
        <v>218</v>
      </c>
      <c r="H67" s="353"/>
      <c r="I67" s="354" t="s">
        <v>61</v>
      </c>
      <c r="J67" s="354"/>
    </row>
    <row r="68" ht="17.25" customHeight="1">
      <c r="B68" s="252" t="s">
        <v>886</v>
      </c>
      <c r="C68" s="564" t="s">
        <v>589</v>
      </c>
      <c r="D68" s="569" t="s">
        <v>109</v>
      </c>
      <c r="E68" s="571" t="s">
        <v>887</v>
      </c>
      <c r="F68" s="353"/>
      <c r="G68" s="252" t="s">
        <v>363</v>
      </c>
      <c r="H68" s="353"/>
      <c r="I68" s="354" t="s">
        <v>61</v>
      </c>
      <c r="J68" s="354"/>
    </row>
    <row r="69" ht="17.25" customHeight="1">
      <c r="B69" s="252" t="s">
        <v>888</v>
      </c>
      <c r="C69" s="564" t="s">
        <v>589</v>
      </c>
      <c r="D69" s="569" t="s">
        <v>182</v>
      </c>
      <c r="E69" s="572" t="s">
        <v>889</v>
      </c>
      <c r="F69" s="353"/>
      <c r="G69" s="252" t="s">
        <v>218</v>
      </c>
      <c r="H69" s="353"/>
      <c r="I69" s="573"/>
      <c r="J69" s="573"/>
    </row>
    <row r="70" ht="17.25" customHeight="1">
      <c r="B70" s="252" t="s">
        <v>890</v>
      </c>
      <c r="C70" s="564" t="s">
        <v>589</v>
      </c>
      <c r="D70" s="479" t="s">
        <v>176</v>
      </c>
      <c r="E70" s="574" t="s">
        <v>891</v>
      </c>
      <c r="F70" s="351"/>
      <c r="G70" s="252" t="s">
        <v>216</v>
      </c>
      <c r="H70" s="353"/>
      <c r="I70" s="433"/>
      <c r="J70" s="433"/>
    </row>
    <row r="71" ht="17.25" customHeight="1">
      <c r="B71" s="252" t="s">
        <v>892</v>
      </c>
      <c r="C71" s="564" t="s">
        <v>589</v>
      </c>
      <c r="D71" s="564" t="s">
        <v>16</v>
      </c>
      <c r="E71" s="568" t="s">
        <v>893</v>
      </c>
      <c r="F71" s="351"/>
      <c r="G71" s="252" t="s">
        <v>173</v>
      </c>
      <c r="H71" s="353"/>
      <c r="I71" s="433"/>
      <c r="J71" s="433"/>
    </row>
    <row r="72" ht="17.25" customHeight="1">
      <c r="B72" s="252" t="s">
        <v>894</v>
      </c>
      <c r="C72" s="564" t="s">
        <v>589</v>
      </c>
      <c r="D72" s="479" t="s">
        <v>25</v>
      </c>
      <c r="E72" s="447" t="s">
        <v>895</v>
      </c>
      <c r="F72" s="351"/>
      <c r="G72" s="252" t="s">
        <v>358</v>
      </c>
      <c r="H72" s="353"/>
      <c r="I72" s="433"/>
      <c r="J72" s="433"/>
    </row>
    <row r="73" ht="17.25" customHeight="1">
      <c r="B73" s="252" t="s">
        <v>896</v>
      </c>
      <c r="C73" s="564" t="s">
        <v>589</v>
      </c>
      <c r="D73" s="564" t="s">
        <v>16</v>
      </c>
      <c r="E73" s="447" t="s">
        <v>897</v>
      </c>
      <c r="F73" s="351"/>
      <c r="G73" s="252" t="s">
        <v>173</v>
      </c>
      <c r="H73" s="353"/>
      <c r="I73" s="433"/>
      <c r="J73" s="433"/>
    </row>
    <row r="74" ht="17.25" customHeight="1">
      <c r="B74" s="252" t="s">
        <v>898</v>
      </c>
      <c r="C74" s="564" t="s">
        <v>589</v>
      </c>
      <c r="D74" s="564" t="s">
        <v>16</v>
      </c>
      <c r="E74" s="447" t="s">
        <v>899</v>
      </c>
      <c r="F74" s="351"/>
      <c r="G74" s="252" t="s">
        <v>173</v>
      </c>
      <c r="H74" s="353"/>
      <c r="I74" s="433"/>
      <c r="J74" s="433"/>
    </row>
    <row r="75" ht="17.25" customHeight="1">
      <c r="B75" s="252" t="s">
        <v>900</v>
      </c>
      <c r="C75" s="564" t="s">
        <v>589</v>
      </c>
      <c r="D75" s="564" t="s">
        <v>16</v>
      </c>
      <c r="E75" s="447" t="s">
        <v>901</v>
      </c>
      <c r="F75" s="351"/>
      <c r="G75" s="252" t="s">
        <v>385</v>
      </c>
      <c r="H75" s="353"/>
      <c r="I75" s="433"/>
      <c r="J75" s="433"/>
    </row>
    <row r="76" ht="7.5" customHeight="1">
      <c r="A76" s="528"/>
      <c r="B76" s="529"/>
      <c r="C76" s="530"/>
      <c r="D76" s="530"/>
      <c r="E76" s="451"/>
      <c r="F76" s="531"/>
      <c r="G76" s="529"/>
      <c r="H76" s="531"/>
      <c r="I76" s="531"/>
      <c r="J76" s="531"/>
    </row>
    <row r="77" ht="17.25" customHeight="1">
      <c r="A77" s="575" t="s">
        <v>563</v>
      </c>
      <c r="B77" s="369" t="s">
        <v>902</v>
      </c>
      <c r="C77" s="564" t="s">
        <v>589</v>
      </c>
      <c r="D77" s="564" t="s">
        <v>796</v>
      </c>
      <c r="E77" s="454" t="s">
        <v>903</v>
      </c>
      <c r="F77" s="576"/>
      <c r="G77" s="577" t="s">
        <v>186</v>
      </c>
      <c r="H77" s="367"/>
      <c r="I77" s="578"/>
      <c r="J77" s="578"/>
    </row>
    <row r="78" ht="17.25" customHeight="1">
      <c r="B78" s="579" t="s">
        <v>904</v>
      </c>
      <c r="C78" s="564" t="s">
        <v>589</v>
      </c>
      <c r="D78" s="564" t="s">
        <v>16</v>
      </c>
      <c r="E78" s="454" t="s">
        <v>905</v>
      </c>
      <c r="F78" s="351"/>
      <c r="G78" s="580" t="s">
        <v>173</v>
      </c>
      <c r="H78" s="353"/>
      <c r="I78" s="433"/>
      <c r="J78" s="433"/>
    </row>
    <row r="79" ht="17.25" customHeight="1">
      <c r="B79" s="579" t="s">
        <v>906</v>
      </c>
      <c r="C79" s="564" t="s">
        <v>589</v>
      </c>
      <c r="D79" s="564" t="s">
        <v>16</v>
      </c>
      <c r="E79" s="581" t="s">
        <v>907</v>
      </c>
      <c r="F79" s="351"/>
      <c r="G79" s="580" t="s">
        <v>173</v>
      </c>
      <c r="H79" s="353"/>
      <c r="I79" s="433"/>
      <c r="J79" s="433"/>
    </row>
    <row r="80" ht="17.25" customHeight="1">
      <c r="B80" s="579" t="s">
        <v>908</v>
      </c>
      <c r="C80" s="564" t="s">
        <v>589</v>
      </c>
      <c r="D80" s="564" t="s">
        <v>16</v>
      </c>
      <c r="E80" s="454" t="s">
        <v>909</v>
      </c>
      <c r="F80" s="351"/>
      <c r="G80" s="580" t="s">
        <v>173</v>
      </c>
      <c r="H80" s="353"/>
      <c r="I80" s="433"/>
      <c r="J80" s="433"/>
    </row>
    <row r="81" ht="17.25" customHeight="1">
      <c r="B81" s="579" t="s">
        <v>910</v>
      </c>
      <c r="C81" s="564" t="s">
        <v>589</v>
      </c>
      <c r="D81" s="564" t="s">
        <v>16</v>
      </c>
      <c r="E81" s="454" t="s">
        <v>911</v>
      </c>
      <c r="F81" s="351"/>
      <c r="G81" s="580" t="s">
        <v>173</v>
      </c>
      <c r="H81" s="353"/>
      <c r="I81" s="433"/>
      <c r="J81" s="433"/>
    </row>
    <row r="82" ht="17.25" customHeight="1">
      <c r="A82" s="433"/>
      <c r="B82" s="579"/>
      <c r="C82" s="433"/>
      <c r="D82" s="433"/>
      <c r="E82" s="460"/>
      <c r="F82" s="351"/>
      <c r="G82" s="580"/>
      <c r="H82" s="353"/>
      <c r="I82" s="433"/>
      <c r="J82" s="433"/>
    </row>
    <row r="83" ht="17.25" customHeight="1">
      <c r="A83" s="433"/>
      <c r="B83" s="456"/>
      <c r="C83" s="433"/>
      <c r="D83" s="433"/>
      <c r="E83" s="460"/>
      <c r="F83" s="351"/>
      <c r="G83" s="456"/>
      <c r="H83" s="353"/>
      <c r="I83" s="433"/>
      <c r="J83" s="433"/>
    </row>
    <row r="84" ht="17.25" customHeight="1">
      <c r="A84" s="433"/>
      <c r="B84" s="456"/>
      <c r="C84" s="433"/>
      <c r="D84" s="433"/>
      <c r="E84" s="460"/>
      <c r="F84" s="351"/>
      <c r="G84" s="456"/>
      <c r="H84" s="353"/>
      <c r="I84" s="433"/>
      <c r="J84" s="433"/>
    </row>
    <row r="85" ht="17.25" customHeight="1">
      <c r="A85" s="433"/>
      <c r="B85" s="456"/>
      <c r="C85" s="433"/>
      <c r="D85" s="433"/>
      <c r="E85" s="460"/>
      <c r="F85" s="351"/>
      <c r="G85" s="456"/>
      <c r="H85" s="353"/>
      <c r="I85" s="433"/>
      <c r="J85" s="433"/>
    </row>
    <row r="86" ht="17.25" customHeight="1">
      <c r="A86" s="433"/>
      <c r="B86" s="456"/>
      <c r="C86" s="433"/>
      <c r="D86" s="433"/>
      <c r="E86" s="460"/>
      <c r="F86" s="351"/>
      <c r="G86" s="456"/>
      <c r="H86" s="353"/>
      <c r="I86" s="433"/>
      <c r="J86" s="433"/>
    </row>
    <row r="87" ht="17.25" customHeight="1">
      <c r="A87" s="433"/>
      <c r="B87" s="456"/>
      <c r="C87" s="433"/>
      <c r="D87" s="433"/>
      <c r="E87" s="460"/>
      <c r="F87" s="351"/>
      <c r="G87" s="456"/>
      <c r="H87" s="353"/>
      <c r="I87" s="433"/>
      <c r="J87" s="433"/>
    </row>
    <row r="88" ht="17.25" customHeight="1">
      <c r="A88" s="433"/>
      <c r="B88" s="456"/>
      <c r="C88" s="433"/>
      <c r="D88" s="433"/>
      <c r="E88" s="460"/>
      <c r="F88" s="351"/>
      <c r="G88" s="456"/>
      <c r="H88" s="353"/>
      <c r="I88" s="433"/>
      <c r="J88" s="433"/>
    </row>
    <row r="89" ht="17.25" customHeight="1">
      <c r="A89" s="433"/>
      <c r="B89" s="456"/>
      <c r="C89" s="433"/>
      <c r="D89" s="433"/>
      <c r="E89" s="460"/>
      <c r="F89" s="351"/>
      <c r="G89" s="456"/>
      <c r="H89" s="353"/>
      <c r="I89" s="433"/>
      <c r="J89" s="433"/>
    </row>
    <row r="90" ht="17.25" customHeight="1">
      <c r="A90" s="433"/>
      <c r="B90" s="456"/>
      <c r="C90" s="433"/>
      <c r="D90" s="433"/>
      <c r="E90" s="460"/>
      <c r="F90" s="351"/>
      <c r="G90" s="456"/>
      <c r="H90" s="353"/>
      <c r="I90" s="433"/>
      <c r="J90" s="433"/>
    </row>
    <row r="91" ht="17.25" customHeight="1">
      <c r="A91" s="433"/>
      <c r="B91" s="456"/>
      <c r="C91" s="433"/>
      <c r="D91" s="433"/>
      <c r="E91" s="460"/>
      <c r="F91" s="351"/>
      <c r="G91" s="456"/>
      <c r="H91" s="353"/>
      <c r="I91" s="433"/>
      <c r="J91" s="433"/>
    </row>
    <row r="92" ht="17.25" customHeight="1">
      <c r="A92" s="433"/>
      <c r="B92" s="456"/>
      <c r="C92" s="433"/>
      <c r="D92" s="433"/>
      <c r="E92" s="460"/>
      <c r="F92" s="351"/>
      <c r="G92" s="456"/>
      <c r="H92" s="353"/>
      <c r="I92" s="433"/>
      <c r="J92" s="433"/>
    </row>
    <row r="93" ht="17.25" customHeight="1">
      <c r="A93" s="433"/>
      <c r="B93" s="456"/>
      <c r="C93" s="433"/>
      <c r="D93" s="433"/>
      <c r="E93" s="460"/>
      <c r="F93" s="351"/>
      <c r="G93" s="456"/>
      <c r="H93" s="353"/>
      <c r="I93" s="433"/>
      <c r="J93" s="433"/>
    </row>
    <row r="94" ht="17.25" customHeight="1">
      <c r="A94" s="433"/>
      <c r="B94" s="456"/>
      <c r="C94" s="433"/>
      <c r="D94" s="433"/>
      <c r="E94" s="460"/>
      <c r="F94" s="351"/>
      <c r="G94" s="456"/>
      <c r="H94" s="353"/>
      <c r="I94" s="433"/>
      <c r="J94" s="433"/>
    </row>
    <row r="95" ht="17.25" customHeight="1">
      <c r="A95" s="433"/>
      <c r="B95" s="456"/>
      <c r="C95" s="433"/>
      <c r="D95" s="433"/>
      <c r="E95" s="460"/>
      <c r="F95" s="351"/>
      <c r="G95" s="456"/>
      <c r="H95" s="353"/>
      <c r="I95" s="433"/>
      <c r="J95" s="433"/>
    </row>
    <row r="96" ht="17.25" customHeight="1">
      <c r="A96" s="433"/>
      <c r="B96" s="456"/>
      <c r="C96" s="433"/>
      <c r="D96" s="433"/>
      <c r="E96" s="460"/>
      <c r="F96" s="351"/>
      <c r="G96" s="456"/>
      <c r="H96" s="353"/>
      <c r="I96" s="433"/>
      <c r="J96" s="433"/>
    </row>
    <row r="97" ht="17.25" customHeight="1">
      <c r="A97" s="433"/>
      <c r="B97" s="456"/>
      <c r="C97" s="433"/>
      <c r="D97" s="433"/>
      <c r="E97" s="582"/>
      <c r="F97" s="351"/>
      <c r="G97" s="456"/>
      <c r="H97" s="353"/>
      <c r="I97" s="433"/>
      <c r="J97" s="433"/>
    </row>
    <row r="98" ht="17.25" customHeight="1">
      <c r="A98" s="433"/>
      <c r="B98" s="456"/>
      <c r="C98" s="433"/>
      <c r="D98" s="433"/>
      <c r="E98" s="582"/>
      <c r="F98" s="351"/>
      <c r="G98" s="456"/>
      <c r="H98" s="353"/>
      <c r="I98" s="433"/>
      <c r="J98" s="433"/>
    </row>
    <row r="99" ht="17.25" customHeight="1">
      <c r="A99" s="433"/>
      <c r="B99" s="456"/>
      <c r="C99" s="433"/>
      <c r="D99" s="433"/>
      <c r="E99" s="582"/>
      <c r="F99" s="351"/>
      <c r="G99" s="456"/>
      <c r="H99" s="353"/>
      <c r="I99" s="433"/>
      <c r="J99" s="433"/>
    </row>
    <row r="100" ht="17.25" customHeight="1">
      <c r="A100" s="433"/>
      <c r="B100" s="456"/>
      <c r="C100" s="433"/>
      <c r="D100" s="433"/>
      <c r="E100" s="582"/>
      <c r="F100" s="351"/>
      <c r="G100" s="456"/>
      <c r="H100" s="353"/>
      <c r="I100" s="433"/>
      <c r="J100" s="433"/>
    </row>
    <row r="101" ht="17.25" customHeight="1">
      <c r="A101" s="433"/>
      <c r="B101" s="456"/>
      <c r="C101" s="433"/>
      <c r="D101" s="433"/>
      <c r="E101" s="583"/>
      <c r="F101" s="351"/>
      <c r="G101" s="456"/>
      <c r="H101" s="353"/>
      <c r="I101" s="433"/>
      <c r="J101" s="433"/>
    </row>
    <row r="102" ht="17.25" customHeight="1">
      <c r="A102" s="433"/>
      <c r="B102" s="456"/>
      <c r="C102" s="433"/>
      <c r="D102" s="433"/>
      <c r="E102" s="460"/>
      <c r="F102" s="351"/>
      <c r="G102" s="456"/>
      <c r="H102" s="353"/>
      <c r="I102" s="433"/>
      <c r="J102" s="433"/>
    </row>
    <row r="103" ht="17.25" customHeight="1">
      <c r="A103" s="433"/>
      <c r="B103" s="456"/>
      <c r="C103" s="433"/>
      <c r="D103" s="433"/>
      <c r="E103" s="460"/>
      <c r="F103" s="351"/>
      <c r="G103" s="456"/>
      <c r="H103" s="353"/>
      <c r="I103" s="433"/>
      <c r="J103" s="433"/>
    </row>
    <row r="104" ht="17.25" customHeight="1">
      <c r="A104" s="433"/>
      <c r="B104" s="456"/>
      <c r="C104" s="433"/>
      <c r="D104" s="433"/>
      <c r="E104" s="460"/>
      <c r="F104" s="351"/>
      <c r="G104" s="456"/>
      <c r="H104" s="353"/>
      <c r="I104" s="433"/>
      <c r="J104" s="433"/>
    </row>
    <row r="105" ht="17.25" customHeight="1">
      <c r="A105" s="433"/>
      <c r="B105" s="456"/>
      <c r="C105" s="433"/>
      <c r="D105" s="433"/>
      <c r="E105" s="460"/>
      <c r="F105" s="351"/>
      <c r="G105" s="456"/>
      <c r="H105" s="353"/>
      <c r="I105" s="433"/>
      <c r="J105" s="433"/>
    </row>
    <row r="106" ht="17.25" customHeight="1">
      <c r="A106" s="433"/>
      <c r="B106" s="456"/>
      <c r="C106" s="433"/>
      <c r="D106" s="433"/>
      <c r="E106" s="460"/>
      <c r="F106" s="351"/>
      <c r="G106" s="456"/>
      <c r="H106" s="353"/>
      <c r="I106" s="433"/>
      <c r="J106" s="433"/>
    </row>
    <row r="107" ht="17.25" customHeight="1">
      <c r="A107" s="433"/>
      <c r="B107" s="456"/>
      <c r="C107" s="433"/>
      <c r="D107" s="433"/>
      <c r="E107" s="460"/>
      <c r="F107" s="351"/>
      <c r="G107" s="456"/>
      <c r="H107" s="353"/>
      <c r="I107" s="433"/>
      <c r="J107" s="433"/>
    </row>
    <row r="108" ht="17.25" customHeight="1">
      <c r="A108" s="433"/>
      <c r="B108" s="456"/>
      <c r="C108" s="433"/>
      <c r="D108" s="433"/>
      <c r="E108" s="460"/>
      <c r="F108" s="351"/>
      <c r="G108" s="456"/>
      <c r="H108" s="353"/>
      <c r="I108" s="433"/>
      <c r="J108" s="433"/>
    </row>
    <row r="109" ht="17.25" customHeight="1">
      <c r="A109" s="433"/>
      <c r="B109" s="456"/>
      <c r="C109" s="433"/>
      <c r="D109" s="433"/>
      <c r="E109" s="460"/>
      <c r="F109" s="351"/>
      <c r="G109" s="456"/>
      <c r="H109" s="353"/>
      <c r="I109" s="433"/>
      <c r="J109" s="433"/>
    </row>
    <row r="110" ht="17.25" customHeight="1">
      <c r="A110" s="433"/>
      <c r="B110" s="456"/>
      <c r="C110" s="433"/>
      <c r="D110" s="433"/>
      <c r="E110" s="460"/>
      <c r="F110" s="351"/>
      <c r="G110" s="456"/>
      <c r="H110" s="353"/>
      <c r="I110" s="433"/>
      <c r="J110" s="433"/>
    </row>
    <row r="111" ht="17.25" customHeight="1">
      <c r="A111" s="433"/>
      <c r="B111" s="456"/>
      <c r="C111" s="433"/>
      <c r="D111" s="433"/>
      <c r="E111" s="460"/>
      <c r="F111" s="351"/>
      <c r="G111" s="456"/>
      <c r="H111" s="353"/>
      <c r="I111" s="433"/>
      <c r="J111" s="433"/>
    </row>
    <row r="112" ht="17.25" customHeight="1">
      <c r="A112" s="433"/>
      <c r="B112" s="456"/>
      <c r="C112" s="433"/>
      <c r="D112" s="433"/>
      <c r="E112" s="460"/>
      <c r="F112" s="351"/>
      <c r="G112" s="456"/>
      <c r="H112" s="353"/>
      <c r="I112" s="433"/>
      <c r="J112" s="433"/>
    </row>
    <row r="113" ht="17.25" customHeight="1">
      <c r="A113" s="433"/>
      <c r="B113" s="456"/>
      <c r="C113" s="433"/>
      <c r="D113" s="433"/>
      <c r="E113" s="460"/>
      <c r="F113" s="351"/>
      <c r="G113" s="456"/>
      <c r="H113" s="353"/>
      <c r="I113" s="433"/>
      <c r="J113" s="433"/>
    </row>
    <row r="114" ht="17.25" customHeight="1">
      <c r="A114" s="433"/>
      <c r="B114" s="456"/>
      <c r="C114" s="433"/>
      <c r="D114" s="433"/>
      <c r="E114" s="460"/>
      <c r="F114" s="351"/>
      <c r="G114" s="456"/>
      <c r="H114" s="353"/>
      <c r="I114" s="433"/>
      <c r="J114" s="433"/>
    </row>
    <row r="115" ht="17.25" customHeight="1">
      <c r="A115" s="433"/>
      <c r="B115" s="456"/>
      <c r="C115" s="433"/>
      <c r="D115" s="433"/>
      <c r="E115" s="460"/>
      <c r="F115" s="351"/>
      <c r="G115" s="456"/>
      <c r="H115" s="353"/>
      <c r="I115" s="433"/>
      <c r="J115" s="433"/>
    </row>
    <row r="116" ht="17.25" customHeight="1">
      <c r="A116" s="433"/>
      <c r="B116" s="456"/>
      <c r="C116" s="433"/>
      <c r="D116" s="433"/>
      <c r="E116" s="460"/>
      <c r="F116" s="351"/>
      <c r="G116" s="456"/>
      <c r="H116" s="353"/>
      <c r="I116" s="433"/>
      <c r="J116" s="433"/>
    </row>
    <row r="117" ht="17.25" customHeight="1">
      <c r="A117" s="433"/>
      <c r="B117" s="456"/>
      <c r="C117" s="433"/>
      <c r="D117" s="433"/>
      <c r="E117" s="460"/>
      <c r="F117" s="351"/>
      <c r="G117" s="456"/>
      <c r="H117" s="353"/>
      <c r="I117" s="433"/>
      <c r="J117" s="433"/>
    </row>
    <row r="118" ht="17.25" customHeight="1">
      <c r="A118" s="433"/>
      <c r="B118" s="456"/>
      <c r="C118" s="433"/>
      <c r="D118" s="433"/>
      <c r="E118" s="460"/>
      <c r="F118" s="351"/>
      <c r="G118" s="456"/>
      <c r="H118" s="353"/>
      <c r="I118" s="433"/>
      <c r="J118" s="433"/>
    </row>
    <row r="119" ht="17.25" customHeight="1">
      <c r="A119" s="433"/>
      <c r="B119" s="456"/>
      <c r="C119" s="433"/>
      <c r="D119" s="433"/>
      <c r="E119" s="460"/>
      <c r="F119" s="351"/>
      <c r="G119" s="456"/>
      <c r="H119" s="353"/>
      <c r="I119" s="433"/>
      <c r="J119" s="433"/>
    </row>
    <row r="120" ht="17.25" customHeight="1">
      <c r="A120" s="433"/>
      <c r="B120" s="456"/>
      <c r="C120" s="433"/>
      <c r="D120" s="433"/>
      <c r="E120" s="460"/>
      <c r="F120" s="351"/>
      <c r="G120" s="456"/>
      <c r="H120" s="353"/>
      <c r="I120" s="433"/>
      <c r="J120" s="433"/>
    </row>
    <row r="121" ht="17.25" customHeight="1">
      <c r="A121" s="433"/>
      <c r="B121" s="456"/>
      <c r="C121" s="433"/>
      <c r="D121" s="433"/>
      <c r="E121" s="460"/>
      <c r="F121" s="351"/>
      <c r="G121" s="456"/>
      <c r="H121" s="353"/>
      <c r="I121" s="433"/>
      <c r="J121" s="433"/>
    </row>
    <row r="122" ht="17.25" customHeight="1">
      <c r="A122" s="433"/>
      <c r="B122" s="456"/>
      <c r="C122" s="433"/>
      <c r="D122" s="433"/>
      <c r="E122" s="460"/>
      <c r="F122" s="351"/>
      <c r="G122" s="456"/>
      <c r="H122" s="353"/>
      <c r="I122" s="433"/>
      <c r="J122" s="433"/>
    </row>
    <row r="123" ht="17.25" customHeight="1">
      <c r="A123" s="433"/>
      <c r="B123" s="456"/>
      <c r="C123" s="433"/>
      <c r="D123" s="433"/>
      <c r="E123" s="460"/>
      <c r="F123" s="351"/>
      <c r="G123" s="456"/>
      <c r="H123" s="353"/>
      <c r="I123" s="433"/>
      <c r="J123" s="433"/>
    </row>
    <row r="124" ht="17.25" customHeight="1">
      <c r="A124" s="433"/>
      <c r="B124" s="456"/>
      <c r="C124" s="433"/>
      <c r="D124" s="433"/>
      <c r="E124" s="460"/>
      <c r="F124" s="351"/>
      <c r="G124" s="456"/>
      <c r="H124" s="353"/>
      <c r="I124" s="433"/>
      <c r="J124" s="433"/>
    </row>
    <row r="125" ht="17.25" customHeight="1">
      <c r="A125" s="433"/>
      <c r="B125" s="456"/>
      <c r="C125" s="433"/>
      <c r="D125" s="433"/>
      <c r="E125" s="460"/>
      <c r="F125" s="351"/>
      <c r="G125" s="456"/>
      <c r="H125" s="353"/>
      <c r="I125" s="433"/>
      <c r="J125" s="433"/>
    </row>
    <row r="126" ht="17.25" customHeight="1">
      <c r="A126" s="433"/>
      <c r="B126" s="456"/>
      <c r="C126" s="433"/>
      <c r="D126" s="433"/>
      <c r="E126" s="460"/>
      <c r="F126" s="351"/>
      <c r="G126" s="456"/>
      <c r="H126" s="353"/>
      <c r="I126" s="433"/>
      <c r="J126" s="433"/>
    </row>
    <row r="127" ht="17.25" customHeight="1">
      <c r="A127" s="433"/>
      <c r="B127" s="456"/>
      <c r="C127" s="433"/>
      <c r="D127" s="433"/>
      <c r="E127" s="460"/>
      <c r="F127" s="351"/>
      <c r="G127" s="456"/>
      <c r="H127" s="353"/>
      <c r="I127" s="433"/>
      <c r="J127" s="433"/>
    </row>
    <row r="128" ht="17.25" customHeight="1">
      <c r="A128" s="433"/>
      <c r="B128" s="456"/>
      <c r="C128" s="433"/>
      <c r="D128" s="433"/>
      <c r="E128" s="460"/>
      <c r="F128" s="351"/>
      <c r="G128" s="456"/>
      <c r="H128" s="353"/>
      <c r="I128" s="433"/>
      <c r="J128" s="433"/>
    </row>
    <row r="129" ht="17.25" customHeight="1">
      <c r="A129" s="433"/>
      <c r="B129" s="456"/>
      <c r="C129" s="433"/>
      <c r="D129" s="433"/>
      <c r="E129" s="460"/>
      <c r="F129" s="351"/>
      <c r="G129" s="456"/>
      <c r="H129" s="353"/>
      <c r="I129" s="433"/>
      <c r="J129" s="433"/>
    </row>
    <row r="130" ht="17.25" customHeight="1">
      <c r="A130" s="433"/>
      <c r="B130" s="456"/>
      <c r="C130" s="433"/>
      <c r="D130" s="433"/>
      <c r="E130" s="460"/>
      <c r="F130" s="351"/>
      <c r="G130" s="456"/>
      <c r="H130" s="353"/>
      <c r="I130" s="433"/>
      <c r="J130" s="433"/>
    </row>
    <row r="131" ht="17.25" customHeight="1">
      <c r="A131" s="433"/>
      <c r="B131" s="456"/>
      <c r="C131" s="433"/>
      <c r="D131" s="433"/>
      <c r="E131" s="460"/>
      <c r="F131" s="351"/>
      <c r="G131" s="456"/>
      <c r="H131" s="353"/>
      <c r="I131" s="433"/>
      <c r="J131" s="433"/>
    </row>
    <row r="132" ht="17.25" customHeight="1">
      <c r="A132" s="433"/>
      <c r="B132" s="456"/>
      <c r="C132" s="433"/>
      <c r="D132" s="433"/>
      <c r="E132" s="460"/>
      <c r="F132" s="351"/>
      <c r="G132" s="456"/>
      <c r="H132" s="353"/>
      <c r="I132" s="433"/>
      <c r="J132" s="433"/>
    </row>
    <row r="133" ht="17.25" customHeight="1">
      <c r="A133" s="433"/>
      <c r="B133" s="456"/>
      <c r="C133" s="433"/>
      <c r="D133" s="433"/>
      <c r="E133" s="460"/>
      <c r="F133" s="351"/>
      <c r="G133" s="456"/>
      <c r="H133" s="353"/>
      <c r="I133" s="433"/>
      <c r="J133" s="433"/>
    </row>
    <row r="134" ht="17.25" customHeight="1">
      <c r="A134" s="433"/>
      <c r="B134" s="456"/>
      <c r="C134" s="433"/>
      <c r="D134" s="433"/>
      <c r="E134" s="460"/>
      <c r="F134" s="351"/>
      <c r="G134" s="456"/>
      <c r="H134" s="353"/>
      <c r="I134" s="433"/>
      <c r="J134" s="433"/>
    </row>
    <row r="135" ht="17.25" customHeight="1">
      <c r="A135" s="433"/>
      <c r="B135" s="456"/>
      <c r="C135" s="433"/>
      <c r="D135" s="433"/>
      <c r="E135" s="460"/>
      <c r="F135" s="351"/>
      <c r="G135" s="456"/>
      <c r="H135" s="353"/>
      <c r="I135" s="433"/>
      <c r="J135" s="433"/>
    </row>
    <row r="136" ht="17.25" customHeight="1">
      <c r="A136" s="433"/>
      <c r="B136" s="456"/>
      <c r="C136" s="433"/>
      <c r="D136" s="433"/>
      <c r="E136" s="460"/>
      <c r="F136" s="351"/>
      <c r="G136" s="456"/>
      <c r="H136" s="353"/>
      <c r="I136" s="433"/>
      <c r="J136" s="433"/>
    </row>
    <row r="137" ht="17.25" customHeight="1">
      <c r="A137" s="433"/>
      <c r="B137" s="456"/>
      <c r="C137" s="433"/>
      <c r="D137" s="433"/>
      <c r="E137" s="460"/>
      <c r="F137" s="351"/>
      <c r="G137" s="456"/>
      <c r="H137" s="353"/>
      <c r="I137" s="433"/>
      <c r="J137" s="433"/>
    </row>
    <row r="138" ht="17.25" customHeight="1">
      <c r="A138" s="433"/>
      <c r="B138" s="456"/>
      <c r="C138" s="433"/>
      <c r="D138" s="433"/>
      <c r="E138" s="460"/>
      <c r="F138" s="351"/>
      <c r="G138" s="456"/>
      <c r="H138" s="353"/>
      <c r="I138" s="433"/>
      <c r="J138" s="433"/>
    </row>
    <row r="139" ht="17.25" customHeight="1">
      <c r="A139" s="433"/>
      <c r="B139" s="456"/>
      <c r="C139" s="433"/>
      <c r="D139" s="433"/>
      <c r="E139" s="460"/>
      <c r="F139" s="351"/>
      <c r="G139" s="456"/>
      <c r="H139" s="353"/>
      <c r="I139" s="433"/>
      <c r="J139" s="433"/>
    </row>
    <row r="140" ht="17.25" customHeight="1">
      <c r="A140" s="433"/>
      <c r="B140" s="456"/>
      <c r="C140" s="433"/>
      <c r="D140" s="433"/>
      <c r="E140" s="460"/>
      <c r="F140" s="351"/>
      <c r="G140" s="456"/>
      <c r="H140" s="353"/>
      <c r="I140" s="433"/>
      <c r="J140" s="433"/>
    </row>
    <row r="141" ht="17.25" customHeight="1">
      <c r="A141" s="433"/>
      <c r="B141" s="456"/>
      <c r="C141" s="433"/>
      <c r="D141" s="433"/>
      <c r="E141" s="460"/>
      <c r="F141" s="351"/>
      <c r="G141" s="456"/>
      <c r="H141" s="353"/>
      <c r="I141" s="433"/>
      <c r="J141" s="433"/>
    </row>
    <row r="142" ht="17.25" customHeight="1">
      <c r="A142" s="433"/>
      <c r="B142" s="456"/>
      <c r="C142" s="433"/>
      <c r="D142" s="433"/>
      <c r="E142" s="460"/>
      <c r="F142" s="351"/>
      <c r="G142" s="456"/>
      <c r="H142" s="353"/>
      <c r="I142" s="433"/>
      <c r="J142" s="433"/>
    </row>
    <row r="143" ht="17.25" customHeight="1">
      <c r="A143" s="433"/>
      <c r="B143" s="456"/>
      <c r="C143" s="433"/>
      <c r="D143" s="433"/>
      <c r="E143" s="460"/>
      <c r="F143" s="351"/>
      <c r="G143" s="456"/>
      <c r="H143" s="353"/>
      <c r="I143" s="433"/>
      <c r="J143" s="433"/>
    </row>
    <row r="144" ht="17.25" customHeight="1">
      <c r="A144" s="433"/>
      <c r="B144" s="456"/>
      <c r="C144" s="433"/>
      <c r="D144" s="433"/>
      <c r="E144" s="460"/>
      <c r="F144" s="351"/>
      <c r="G144" s="456"/>
      <c r="H144" s="353"/>
      <c r="I144" s="433"/>
      <c r="J144" s="433"/>
    </row>
    <row r="145" ht="17.25" customHeight="1">
      <c r="A145" s="433"/>
      <c r="B145" s="456"/>
      <c r="C145" s="433"/>
      <c r="D145" s="433"/>
      <c r="E145" s="460"/>
      <c r="F145" s="351"/>
      <c r="G145" s="456"/>
      <c r="H145" s="353"/>
      <c r="I145" s="433"/>
      <c r="J145" s="433"/>
    </row>
    <row r="146" ht="17.25" customHeight="1">
      <c r="A146" s="433"/>
      <c r="B146" s="456"/>
      <c r="C146" s="433"/>
      <c r="D146" s="433"/>
      <c r="E146" s="460"/>
      <c r="F146" s="351"/>
      <c r="G146" s="456"/>
      <c r="H146" s="353"/>
      <c r="I146" s="433"/>
      <c r="J146" s="433"/>
    </row>
    <row r="147" ht="17.25" customHeight="1">
      <c r="A147" s="433"/>
      <c r="B147" s="456"/>
      <c r="C147" s="433"/>
      <c r="D147" s="433"/>
      <c r="E147" s="460"/>
      <c r="F147" s="351"/>
      <c r="G147" s="456"/>
      <c r="H147" s="353"/>
      <c r="I147" s="433"/>
      <c r="J147" s="433"/>
    </row>
    <row r="148" ht="17.25" customHeight="1">
      <c r="A148" s="433"/>
      <c r="B148" s="456"/>
      <c r="C148" s="433"/>
      <c r="D148" s="433"/>
      <c r="E148" s="460"/>
      <c r="F148" s="351"/>
      <c r="G148" s="456"/>
      <c r="H148" s="353"/>
      <c r="I148" s="433"/>
      <c r="J148" s="433"/>
    </row>
    <row r="149" ht="17.25" customHeight="1">
      <c r="A149" s="433"/>
      <c r="B149" s="456"/>
      <c r="C149" s="433"/>
      <c r="D149" s="433"/>
      <c r="E149" s="460"/>
      <c r="F149" s="351"/>
      <c r="G149" s="456"/>
      <c r="H149" s="353"/>
      <c r="I149" s="433"/>
      <c r="J149" s="433"/>
    </row>
    <row r="150" ht="17.25" customHeight="1">
      <c r="A150" s="433"/>
      <c r="B150" s="456"/>
      <c r="C150" s="433"/>
      <c r="D150" s="433"/>
      <c r="E150" s="460"/>
      <c r="F150" s="351"/>
      <c r="G150" s="456"/>
      <c r="H150" s="353"/>
      <c r="I150" s="433"/>
      <c r="J150" s="433"/>
    </row>
    <row r="151" ht="17.25" customHeight="1">
      <c r="A151" s="433"/>
      <c r="B151" s="456"/>
      <c r="C151" s="433"/>
      <c r="D151" s="433"/>
      <c r="E151" s="460"/>
      <c r="F151" s="351"/>
      <c r="G151" s="456"/>
      <c r="H151" s="353"/>
      <c r="I151" s="433"/>
      <c r="J151" s="433"/>
    </row>
    <row r="152">
      <c r="A152" s="433"/>
      <c r="B152" s="456"/>
      <c r="C152" s="433"/>
      <c r="D152" s="433"/>
      <c r="E152" s="460"/>
      <c r="F152" s="351"/>
      <c r="G152" s="456"/>
      <c r="H152" s="353"/>
      <c r="I152" s="433"/>
      <c r="J152" s="433"/>
    </row>
    <row r="153">
      <c r="A153" s="433"/>
      <c r="B153" s="456"/>
      <c r="C153" s="433"/>
      <c r="D153" s="433"/>
      <c r="E153" s="460"/>
      <c r="F153" s="351"/>
      <c r="G153" s="456"/>
      <c r="H153" s="353"/>
      <c r="I153" s="433"/>
      <c r="J153" s="433"/>
    </row>
    <row r="154">
      <c r="A154" s="433"/>
      <c r="B154" s="456"/>
      <c r="C154" s="433"/>
      <c r="D154" s="433"/>
      <c r="E154" s="460"/>
      <c r="F154" s="351"/>
      <c r="G154" s="456"/>
      <c r="H154" s="353"/>
      <c r="I154" s="433"/>
      <c r="J154" s="433"/>
    </row>
    <row r="155">
      <c r="A155" s="433"/>
      <c r="B155" s="456"/>
      <c r="C155" s="433"/>
      <c r="D155" s="433"/>
      <c r="E155" s="460"/>
      <c r="F155" s="351"/>
      <c r="G155" s="456"/>
      <c r="H155" s="353"/>
      <c r="I155" s="433"/>
      <c r="J155" s="433"/>
    </row>
    <row r="156">
      <c r="A156" s="433"/>
      <c r="B156" s="456"/>
      <c r="C156" s="433"/>
      <c r="D156" s="433"/>
      <c r="E156" s="460"/>
      <c r="F156" s="351"/>
      <c r="G156" s="456"/>
      <c r="H156" s="353"/>
      <c r="I156" s="433"/>
      <c r="J156" s="433"/>
    </row>
    <row r="157">
      <c r="A157" s="433"/>
      <c r="B157" s="456"/>
      <c r="C157" s="433"/>
      <c r="D157" s="433"/>
      <c r="E157" s="460"/>
      <c r="F157" s="351"/>
      <c r="G157" s="456"/>
      <c r="H157" s="353"/>
      <c r="I157" s="433"/>
      <c r="J157" s="433"/>
    </row>
    <row r="158">
      <c r="A158" s="433"/>
      <c r="B158" s="456"/>
      <c r="C158" s="433"/>
      <c r="D158" s="433"/>
      <c r="E158" s="460"/>
      <c r="F158" s="351"/>
      <c r="G158" s="456"/>
      <c r="H158" s="353"/>
      <c r="I158" s="433"/>
      <c r="J158" s="433"/>
    </row>
    <row r="159">
      <c r="A159" s="433"/>
      <c r="B159" s="456"/>
      <c r="C159" s="433"/>
      <c r="D159" s="433"/>
      <c r="E159" s="460"/>
      <c r="F159" s="351"/>
      <c r="G159" s="456"/>
      <c r="H159" s="353"/>
      <c r="I159" s="433"/>
      <c r="J159" s="433"/>
    </row>
    <row r="160">
      <c r="A160" s="433"/>
      <c r="B160" s="456"/>
      <c r="C160" s="433"/>
      <c r="D160" s="433"/>
      <c r="E160" s="460"/>
      <c r="F160" s="351"/>
      <c r="G160" s="456"/>
      <c r="H160" s="353"/>
      <c r="I160" s="433"/>
      <c r="J160" s="433"/>
    </row>
    <row r="161">
      <c r="A161" s="433"/>
      <c r="B161" s="456"/>
      <c r="C161" s="433"/>
      <c r="D161" s="433"/>
      <c r="E161" s="460"/>
      <c r="F161" s="351"/>
      <c r="G161" s="456"/>
      <c r="H161" s="353"/>
      <c r="I161" s="433"/>
      <c r="J161" s="433"/>
    </row>
    <row r="162">
      <c r="A162" s="433"/>
      <c r="B162" s="456"/>
      <c r="C162" s="433"/>
      <c r="D162" s="433"/>
      <c r="E162" s="460"/>
      <c r="F162" s="351"/>
      <c r="G162" s="456"/>
      <c r="H162" s="353"/>
      <c r="I162" s="433"/>
      <c r="J162" s="433"/>
    </row>
    <row r="163">
      <c r="A163" s="433"/>
      <c r="B163" s="456"/>
      <c r="C163" s="433"/>
      <c r="D163" s="433"/>
      <c r="E163" s="460"/>
      <c r="F163" s="351"/>
      <c r="G163" s="456"/>
      <c r="H163" s="353"/>
      <c r="I163" s="433"/>
      <c r="J163" s="433"/>
    </row>
    <row r="164">
      <c r="A164" s="433"/>
      <c r="B164" s="456"/>
      <c r="C164" s="433"/>
      <c r="D164" s="433"/>
      <c r="E164" s="460"/>
      <c r="F164" s="351"/>
      <c r="G164" s="456"/>
      <c r="H164" s="353"/>
      <c r="I164" s="433"/>
      <c r="J164" s="433"/>
    </row>
    <row r="165">
      <c r="A165" s="433"/>
      <c r="B165" s="456"/>
      <c r="C165" s="433"/>
      <c r="D165" s="433"/>
      <c r="E165" s="460"/>
      <c r="F165" s="351"/>
      <c r="G165" s="456"/>
      <c r="H165" s="353"/>
      <c r="I165" s="433"/>
      <c r="J165" s="433"/>
    </row>
    <row r="166">
      <c r="A166" s="433"/>
      <c r="B166" s="456"/>
      <c r="C166" s="433"/>
      <c r="D166" s="433"/>
      <c r="E166" s="460"/>
      <c r="F166" s="351"/>
      <c r="G166" s="456"/>
      <c r="H166" s="353"/>
      <c r="I166" s="433"/>
      <c r="J166" s="433"/>
    </row>
    <row r="167">
      <c r="A167" s="433"/>
      <c r="B167" s="456"/>
      <c r="C167" s="433"/>
      <c r="D167" s="433"/>
      <c r="E167" s="460"/>
      <c r="F167" s="351"/>
      <c r="G167" s="456"/>
      <c r="H167" s="353"/>
      <c r="I167" s="433"/>
      <c r="J167" s="433"/>
    </row>
    <row r="168">
      <c r="A168" s="433"/>
      <c r="B168" s="456"/>
      <c r="C168" s="433"/>
      <c r="D168" s="433"/>
      <c r="E168" s="460"/>
      <c r="F168" s="351"/>
      <c r="G168" s="456"/>
      <c r="H168" s="353"/>
      <c r="I168" s="433"/>
      <c r="J168" s="433"/>
    </row>
    <row r="169">
      <c r="A169" s="433"/>
      <c r="B169" s="456"/>
      <c r="C169" s="433"/>
      <c r="D169" s="433"/>
      <c r="E169" s="460"/>
      <c r="F169" s="351"/>
      <c r="G169" s="456"/>
      <c r="H169" s="353"/>
      <c r="I169" s="433"/>
      <c r="J169" s="433"/>
    </row>
    <row r="170">
      <c r="A170" s="433"/>
      <c r="B170" s="456"/>
      <c r="C170" s="433"/>
      <c r="D170" s="433"/>
      <c r="E170" s="460"/>
      <c r="F170" s="351"/>
      <c r="G170" s="456"/>
      <c r="H170" s="353"/>
      <c r="I170" s="433"/>
      <c r="J170" s="433"/>
    </row>
    <row r="171">
      <c r="A171" s="433"/>
      <c r="B171" s="456"/>
      <c r="C171" s="433"/>
      <c r="D171" s="433"/>
      <c r="E171" s="460"/>
      <c r="F171" s="351"/>
      <c r="G171" s="456"/>
      <c r="H171" s="353"/>
      <c r="I171" s="433"/>
      <c r="J171" s="433"/>
    </row>
    <row r="172">
      <c r="A172" s="433"/>
      <c r="B172" s="456"/>
      <c r="C172" s="433"/>
      <c r="D172" s="433"/>
      <c r="E172" s="460"/>
      <c r="F172" s="351"/>
      <c r="G172" s="456"/>
      <c r="H172" s="353"/>
      <c r="I172" s="433"/>
      <c r="J172" s="433"/>
    </row>
    <row r="173">
      <c r="A173" s="433"/>
      <c r="B173" s="456"/>
      <c r="C173" s="433"/>
      <c r="D173" s="433"/>
      <c r="E173" s="460"/>
      <c r="F173" s="351"/>
      <c r="G173" s="456"/>
      <c r="H173" s="353"/>
      <c r="I173" s="433"/>
      <c r="J173" s="433"/>
    </row>
    <row r="174">
      <c r="A174" s="433"/>
      <c r="B174" s="456"/>
      <c r="C174" s="433"/>
      <c r="D174" s="433"/>
      <c r="E174" s="460"/>
      <c r="F174" s="351"/>
      <c r="G174" s="456"/>
      <c r="H174" s="353"/>
      <c r="I174" s="433"/>
      <c r="J174" s="433"/>
    </row>
    <row r="175">
      <c r="A175" s="433"/>
      <c r="B175" s="456"/>
      <c r="C175" s="433"/>
      <c r="D175" s="433"/>
      <c r="E175" s="460"/>
      <c r="F175" s="351"/>
      <c r="G175" s="456"/>
      <c r="H175" s="353"/>
      <c r="I175" s="433"/>
      <c r="J175" s="433"/>
    </row>
    <row r="176">
      <c r="A176" s="433"/>
      <c r="B176" s="456"/>
      <c r="C176" s="433"/>
      <c r="D176" s="433"/>
      <c r="E176" s="460"/>
      <c r="F176" s="351"/>
      <c r="G176" s="456"/>
      <c r="H176" s="353"/>
      <c r="I176" s="433"/>
      <c r="J176" s="433"/>
    </row>
    <row r="177">
      <c r="A177" s="433"/>
      <c r="B177" s="456"/>
      <c r="C177" s="433"/>
      <c r="D177" s="433"/>
      <c r="E177" s="460"/>
      <c r="F177" s="351"/>
      <c r="G177" s="456"/>
      <c r="H177" s="353"/>
      <c r="I177" s="433"/>
      <c r="J177" s="433"/>
    </row>
    <row r="178">
      <c r="A178" s="433"/>
      <c r="B178" s="456"/>
      <c r="C178" s="433"/>
      <c r="D178" s="433"/>
      <c r="E178" s="460"/>
      <c r="F178" s="351"/>
      <c r="G178" s="456"/>
      <c r="H178" s="353"/>
      <c r="I178" s="433"/>
      <c r="J178" s="433"/>
    </row>
    <row r="179">
      <c r="A179" s="433"/>
      <c r="B179" s="456"/>
      <c r="C179" s="433"/>
      <c r="D179" s="433"/>
      <c r="E179" s="460"/>
      <c r="F179" s="351"/>
      <c r="G179" s="456"/>
      <c r="H179" s="353"/>
      <c r="I179" s="433"/>
      <c r="J179" s="433"/>
    </row>
    <row r="180">
      <c r="A180" s="433"/>
      <c r="B180" s="456"/>
      <c r="C180" s="433"/>
      <c r="D180" s="433"/>
      <c r="E180" s="460"/>
      <c r="F180" s="351"/>
      <c r="G180" s="456"/>
      <c r="H180" s="353"/>
      <c r="I180" s="433"/>
      <c r="J180" s="433"/>
    </row>
    <row r="181">
      <c r="A181" s="433"/>
      <c r="B181" s="456"/>
      <c r="C181" s="433"/>
      <c r="D181" s="433"/>
      <c r="E181" s="460"/>
      <c r="F181" s="351"/>
      <c r="G181" s="456"/>
      <c r="H181" s="353"/>
      <c r="I181" s="433"/>
      <c r="J181" s="433"/>
    </row>
    <row r="182">
      <c r="A182" s="433"/>
      <c r="B182" s="456"/>
      <c r="C182" s="433"/>
      <c r="D182" s="433"/>
      <c r="E182" s="460"/>
      <c r="F182" s="351"/>
      <c r="G182" s="456"/>
      <c r="H182" s="353"/>
      <c r="I182" s="433"/>
      <c r="J182" s="433"/>
    </row>
    <row r="183">
      <c r="A183" s="433"/>
      <c r="B183" s="456"/>
      <c r="C183" s="433"/>
      <c r="D183" s="433"/>
      <c r="E183" s="460"/>
      <c r="F183" s="351"/>
      <c r="G183" s="456"/>
      <c r="H183" s="353"/>
      <c r="I183" s="433"/>
      <c r="J183" s="433"/>
    </row>
    <row r="184">
      <c r="A184" s="433"/>
      <c r="B184" s="456"/>
      <c r="C184" s="433"/>
      <c r="D184" s="433"/>
      <c r="E184" s="460"/>
      <c r="F184" s="351"/>
      <c r="G184" s="456"/>
      <c r="H184" s="353"/>
      <c r="I184" s="433"/>
      <c r="J184" s="433"/>
    </row>
    <row r="185">
      <c r="A185" s="433"/>
      <c r="B185" s="456"/>
      <c r="C185" s="433"/>
      <c r="D185" s="433"/>
      <c r="E185" s="460"/>
      <c r="F185" s="351"/>
      <c r="G185" s="456"/>
      <c r="H185" s="353"/>
      <c r="I185" s="433"/>
      <c r="J185" s="433"/>
    </row>
    <row r="186">
      <c r="A186" s="433"/>
      <c r="B186" s="456"/>
      <c r="C186" s="433"/>
      <c r="D186" s="433"/>
      <c r="E186" s="460"/>
      <c r="F186" s="351"/>
      <c r="G186" s="456"/>
      <c r="H186" s="353"/>
      <c r="I186" s="433"/>
      <c r="J186" s="433"/>
    </row>
    <row r="187">
      <c r="A187" s="433"/>
      <c r="B187" s="456"/>
      <c r="C187" s="433"/>
      <c r="D187" s="433"/>
      <c r="E187" s="460"/>
      <c r="F187" s="351"/>
      <c r="G187" s="456"/>
      <c r="H187" s="353"/>
      <c r="I187" s="433"/>
      <c r="J187" s="433"/>
    </row>
    <row r="188">
      <c r="A188" s="433"/>
      <c r="B188" s="456"/>
      <c r="C188" s="433"/>
      <c r="D188" s="433"/>
      <c r="E188" s="460"/>
      <c r="F188" s="351"/>
      <c r="G188" s="456"/>
      <c r="H188" s="353"/>
      <c r="I188" s="433"/>
      <c r="J188" s="433"/>
    </row>
    <row r="189">
      <c r="A189" s="433"/>
      <c r="B189" s="456"/>
      <c r="C189" s="433"/>
      <c r="D189" s="433"/>
      <c r="E189" s="460"/>
      <c r="F189" s="351"/>
      <c r="G189" s="456"/>
      <c r="H189" s="353"/>
      <c r="I189" s="433"/>
      <c r="J189" s="433"/>
    </row>
    <row r="190">
      <c r="A190" s="433"/>
      <c r="B190" s="456"/>
      <c r="C190" s="433"/>
      <c r="D190" s="433"/>
      <c r="E190" s="460"/>
      <c r="F190" s="351"/>
      <c r="G190" s="456"/>
      <c r="H190" s="353"/>
      <c r="I190" s="433"/>
      <c r="J190" s="433"/>
    </row>
    <row r="191">
      <c r="A191" s="433"/>
      <c r="B191" s="456"/>
      <c r="C191" s="433"/>
      <c r="D191" s="433"/>
      <c r="E191" s="460"/>
      <c r="F191" s="351"/>
      <c r="G191" s="456"/>
      <c r="H191" s="353"/>
      <c r="I191" s="433"/>
      <c r="J191" s="433"/>
    </row>
    <row r="192">
      <c r="A192" s="433"/>
      <c r="B192" s="456"/>
      <c r="C192" s="433"/>
      <c r="D192" s="433"/>
      <c r="E192" s="460"/>
      <c r="F192" s="351"/>
      <c r="G192" s="456"/>
      <c r="H192" s="353"/>
      <c r="I192" s="433"/>
      <c r="J192" s="433"/>
    </row>
    <row r="193">
      <c r="A193" s="433"/>
      <c r="B193" s="456"/>
      <c r="C193" s="433"/>
      <c r="D193" s="433"/>
      <c r="E193" s="460"/>
      <c r="F193" s="351"/>
      <c r="G193" s="456"/>
      <c r="H193" s="353"/>
      <c r="I193" s="433"/>
      <c r="J193" s="433"/>
    </row>
    <row r="194">
      <c r="A194" s="433"/>
      <c r="B194" s="456"/>
      <c r="C194" s="433"/>
      <c r="D194" s="433"/>
      <c r="E194" s="460"/>
      <c r="F194" s="351"/>
      <c r="G194" s="456"/>
      <c r="H194" s="353"/>
      <c r="I194" s="433"/>
      <c r="J194" s="433"/>
    </row>
    <row r="195">
      <c r="A195" s="433"/>
      <c r="B195" s="456"/>
      <c r="C195" s="433"/>
      <c r="D195" s="433"/>
      <c r="E195" s="460"/>
      <c r="F195" s="351"/>
      <c r="G195" s="456"/>
      <c r="H195" s="353"/>
      <c r="I195" s="433"/>
      <c r="J195" s="433"/>
    </row>
    <row r="196">
      <c r="A196" s="433"/>
      <c r="B196" s="456"/>
      <c r="C196" s="433"/>
      <c r="D196" s="433"/>
      <c r="E196" s="460"/>
      <c r="F196" s="351"/>
      <c r="G196" s="456"/>
      <c r="H196" s="353"/>
      <c r="I196" s="433"/>
      <c r="J196" s="433"/>
    </row>
    <row r="197">
      <c r="A197" s="433"/>
      <c r="B197" s="456"/>
      <c r="C197" s="433"/>
      <c r="D197" s="433"/>
      <c r="E197" s="460"/>
      <c r="F197" s="351"/>
      <c r="G197" s="456"/>
      <c r="H197" s="353"/>
      <c r="I197" s="433"/>
      <c r="J197" s="433"/>
    </row>
    <row r="198">
      <c r="A198" s="433"/>
      <c r="B198" s="456"/>
      <c r="C198" s="433"/>
      <c r="D198" s="433"/>
      <c r="E198" s="460"/>
      <c r="F198" s="351"/>
      <c r="G198" s="456"/>
      <c r="H198" s="353"/>
      <c r="I198" s="433"/>
      <c r="J198" s="433"/>
    </row>
    <row r="199">
      <c r="A199" s="433"/>
      <c r="B199" s="456"/>
      <c r="C199" s="433"/>
      <c r="D199" s="433"/>
      <c r="E199" s="460"/>
      <c r="F199" s="351"/>
      <c r="G199" s="456"/>
      <c r="H199" s="353"/>
      <c r="I199" s="433"/>
      <c r="J199" s="433"/>
    </row>
    <row r="200">
      <c r="A200" s="433"/>
      <c r="B200" s="456"/>
      <c r="C200" s="433"/>
      <c r="D200" s="433"/>
      <c r="E200" s="460"/>
      <c r="F200" s="351"/>
      <c r="G200" s="456"/>
      <c r="H200" s="353"/>
      <c r="I200" s="433"/>
      <c r="J200" s="433"/>
    </row>
    <row r="201">
      <c r="A201" s="433"/>
      <c r="B201" s="456"/>
      <c r="C201" s="433"/>
      <c r="D201" s="433"/>
      <c r="E201" s="460"/>
      <c r="F201" s="351"/>
      <c r="G201" s="456"/>
      <c r="H201" s="353"/>
      <c r="I201" s="433"/>
      <c r="J201" s="433"/>
    </row>
    <row r="202">
      <c r="A202" s="433"/>
      <c r="B202" s="456"/>
      <c r="C202" s="433"/>
      <c r="D202" s="433"/>
      <c r="E202" s="460"/>
      <c r="F202" s="351"/>
      <c r="G202" s="456"/>
      <c r="H202" s="353"/>
      <c r="I202" s="433"/>
      <c r="J202" s="433"/>
    </row>
    <row r="203">
      <c r="A203" s="433"/>
      <c r="B203" s="456"/>
      <c r="C203" s="433"/>
      <c r="D203" s="433"/>
      <c r="E203" s="460"/>
      <c r="F203" s="351"/>
      <c r="G203" s="456"/>
      <c r="H203" s="353"/>
      <c r="I203" s="433"/>
      <c r="J203" s="433"/>
    </row>
    <row r="204">
      <c r="A204" s="433"/>
      <c r="B204" s="456"/>
      <c r="C204" s="433"/>
      <c r="D204" s="433"/>
      <c r="E204" s="460"/>
      <c r="F204" s="351"/>
      <c r="G204" s="456"/>
      <c r="H204" s="353"/>
      <c r="I204" s="433"/>
      <c r="J204" s="433"/>
    </row>
    <row r="205">
      <c r="A205" s="433"/>
      <c r="B205" s="456"/>
      <c r="C205" s="433"/>
      <c r="D205" s="433"/>
      <c r="E205" s="460"/>
      <c r="F205" s="351"/>
      <c r="G205" s="456"/>
      <c r="H205" s="353"/>
      <c r="I205" s="433"/>
      <c r="J205" s="433"/>
    </row>
    <row r="206">
      <c r="A206" s="433"/>
      <c r="B206" s="456"/>
      <c r="C206" s="433"/>
      <c r="D206" s="433"/>
      <c r="E206" s="460"/>
      <c r="F206" s="351"/>
      <c r="G206" s="456"/>
      <c r="H206" s="353"/>
      <c r="I206" s="433"/>
      <c r="J206" s="433"/>
    </row>
    <row r="207">
      <c r="A207" s="433"/>
      <c r="B207" s="456"/>
      <c r="C207" s="433"/>
      <c r="D207" s="433"/>
      <c r="E207" s="460"/>
      <c r="F207" s="351"/>
      <c r="G207" s="456"/>
      <c r="H207" s="353"/>
      <c r="I207" s="433"/>
      <c r="J207" s="433"/>
    </row>
    <row r="208">
      <c r="A208" s="433"/>
      <c r="B208" s="456"/>
      <c r="C208" s="433"/>
      <c r="D208" s="433"/>
      <c r="E208" s="460"/>
      <c r="F208" s="351"/>
      <c r="G208" s="456"/>
      <c r="H208" s="353"/>
      <c r="I208" s="433"/>
      <c r="J208" s="433"/>
    </row>
    <row r="209">
      <c r="A209" s="433"/>
      <c r="B209" s="456"/>
      <c r="C209" s="433"/>
      <c r="D209" s="433"/>
      <c r="E209" s="460"/>
      <c r="F209" s="351"/>
      <c r="G209" s="456"/>
      <c r="H209" s="353"/>
      <c r="I209" s="433"/>
      <c r="J209" s="433"/>
    </row>
    <row r="210">
      <c r="A210" s="433"/>
      <c r="B210" s="456"/>
      <c r="C210" s="433"/>
      <c r="D210" s="433"/>
      <c r="E210" s="460"/>
      <c r="F210" s="351"/>
      <c r="G210" s="456"/>
      <c r="H210" s="353"/>
      <c r="I210" s="433"/>
      <c r="J210" s="433"/>
    </row>
    <row r="211">
      <c r="A211" s="433"/>
      <c r="B211" s="456"/>
      <c r="C211" s="433"/>
      <c r="D211" s="433"/>
      <c r="E211" s="460"/>
      <c r="F211" s="351"/>
      <c r="G211" s="456"/>
      <c r="H211" s="353"/>
      <c r="I211" s="433"/>
      <c r="J211" s="433"/>
    </row>
    <row r="212">
      <c r="A212" s="433"/>
      <c r="B212" s="456"/>
      <c r="C212" s="433"/>
      <c r="D212" s="433"/>
      <c r="E212" s="460"/>
      <c r="F212" s="351"/>
      <c r="G212" s="456"/>
      <c r="H212" s="353"/>
      <c r="I212" s="433"/>
      <c r="J212" s="433"/>
    </row>
    <row r="213">
      <c r="A213" s="433"/>
      <c r="B213" s="456"/>
      <c r="C213" s="433"/>
      <c r="D213" s="433"/>
      <c r="E213" s="460"/>
      <c r="F213" s="351"/>
      <c r="G213" s="456"/>
      <c r="H213" s="353"/>
      <c r="I213" s="433"/>
      <c r="J213" s="433"/>
    </row>
    <row r="214">
      <c r="A214" s="433"/>
      <c r="B214" s="456"/>
      <c r="C214" s="433"/>
      <c r="D214" s="433"/>
      <c r="E214" s="460"/>
      <c r="F214" s="351"/>
      <c r="G214" s="456"/>
      <c r="H214" s="353"/>
      <c r="I214" s="433"/>
      <c r="J214" s="433"/>
    </row>
    <row r="215">
      <c r="A215" s="433"/>
      <c r="B215" s="456"/>
      <c r="C215" s="433"/>
      <c r="D215" s="433"/>
      <c r="E215" s="460"/>
      <c r="F215" s="351"/>
      <c r="G215" s="456"/>
      <c r="H215" s="353"/>
      <c r="I215" s="433"/>
      <c r="J215" s="433"/>
    </row>
    <row r="216">
      <c r="A216" s="433"/>
      <c r="B216" s="456"/>
      <c r="C216" s="433"/>
      <c r="D216" s="433"/>
      <c r="E216" s="460"/>
      <c r="F216" s="351"/>
      <c r="G216" s="456"/>
      <c r="H216" s="353"/>
      <c r="I216" s="433"/>
      <c r="J216" s="433"/>
    </row>
    <row r="217">
      <c r="A217" s="433"/>
      <c r="B217" s="456"/>
      <c r="C217" s="433"/>
      <c r="D217" s="433"/>
      <c r="E217" s="460"/>
      <c r="F217" s="351"/>
      <c r="G217" s="456"/>
      <c r="H217" s="353"/>
      <c r="I217" s="433"/>
      <c r="J217" s="433"/>
    </row>
    <row r="218">
      <c r="A218" s="433"/>
      <c r="B218" s="456"/>
      <c r="C218" s="433"/>
      <c r="D218" s="433"/>
      <c r="E218" s="460"/>
      <c r="F218" s="351"/>
      <c r="G218" s="456"/>
      <c r="H218" s="353"/>
      <c r="I218" s="433"/>
      <c r="J218" s="433"/>
    </row>
    <row r="219">
      <c r="A219" s="433"/>
      <c r="B219" s="456"/>
      <c r="C219" s="433"/>
      <c r="D219" s="433"/>
      <c r="E219" s="460"/>
      <c r="F219" s="351"/>
      <c r="G219" s="456"/>
      <c r="H219" s="353"/>
      <c r="I219" s="433"/>
      <c r="J219" s="433"/>
    </row>
    <row r="220">
      <c r="A220" s="433"/>
      <c r="B220" s="456"/>
      <c r="C220" s="433"/>
      <c r="D220" s="433"/>
      <c r="E220" s="460"/>
      <c r="F220" s="351"/>
      <c r="G220" s="456"/>
      <c r="H220" s="353"/>
      <c r="I220" s="433"/>
      <c r="J220" s="433"/>
    </row>
    <row r="221">
      <c r="A221" s="433"/>
      <c r="B221" s="456"/>
      <c r="C221" s="433"/>
      <c r="D221" s="433"/>
      <c r="E221" s="460"/>
      <c r="F221" s="351"/>
      <c r="G221" s="456"/>
      <c r="H221" s="353"/>
      <c r="I221" s="433"/>
      <c r="J221" s="433"/>
    </row>
    <row r="222">
      <c r="A222" s="433"/>
      <c r="B222" s="456"/>
      <c r="C222" s="433"/>
      <c r="D222" s="433"/>
      <c r="E222" s="460"/>
      <c r="F222" s="351"/>
      <c r="G222" s="456"/>
      <c r="H222" s="353"/>
      <c r="I222" s="433"/>
      <c r="J222" s="433"/>
    </row>
    <row r="223">
      <c r="A223" s="433"/>
      <c r="B223" s="456"/>
      <c r="C223" s="433"/>
      <c r="D223" s="433"/>
      <c r="E223" s="460"/>
      <c r="F223" s="351"/>
      <c r="G223" s="456"/>
      <c r="H223" s="353"/>
      <c r="I223" s="433"/>
      <c r="J223" s="433"/>
    </row>
    <row r="224">
      <c r="A224" s="433"/>
      <c r="B224" s="456"/>
      <c r="C224" s="433"/>
      <c r="D224" s="433"/>
      <c r="E224" s="460"/>
      <c r="F224" s="351"/>
      <c r="G224" s="456"/>
      <c r="H224" s="353"/>
      <c r="I224" s="433"/>
      <c r="J224" s="433"/>
    </row>
    <row r="225">
      <c r="A225" s="433"/>
      <c r="B225" s="456"/>
      <c r="C225" s="433"/>
      <c r="D225" s="433"/>
      <c r="E225" s="460"/>
      <c r="F225" s="351"/>
      <c r="G225" s="456"/>
      <c r="H225" s="353"/>
      <c r="I225" s="433"/>
      <c r="J225" s="433"/>
    </row>
    <row r="226">
      <c r="A226" s="433"/>
      <c r="B226" s="456"/>
      <c r="C226" s="433"/>
      <c r="D226" s="433"/>
      <c r="E226" s="460"/>
      <c r="F226" s="351"/>
      <c r="G226" s="456"/>
      <c r="H226" s="353"/>
      <c r="I226" s="433"/>
      <c r="J226" s="433"/>
    </row>
    <row r="227">
      <c r="A227" s="433"/>
      <c r="B227" s="456"/>
      <c r="C227" s="433"/>
      <c r="D227" s="433"/>
      <c r="E227" s="460"/>
      <c r="F227" s="351"/>
      <c r="G227" s="456"/>
      <c r="H227" s="353"/>
      <c r="I227" s="433"/>
      <c r="J227" s="433"/>
    </row>
    <row r="228">
      <c r="A228" s="433"/>
      <c r="B228" s="456"/>
      <c r="C228" s="433"/>
      <c r="D228" s="433"/>
      <c r="E228" s="460"/>
      <c r="F228" s="351"/>
      <c r="G228" s="456"/>
      <c r="H228" s="353"/>
      <c r="I228" s="433"/>
      <c r="J228" s="433"/>
    </row>
    <row r="229">
      <c r="A229" s="433"/>
      <c r="B229" s="456"/>
      <c r="C229" s="433"/>
      <c r="D229" s="433"/>
      <c r="E229" s="460"/>
      <c r="F229" s="351"/>
      <c r="G229" s="456"/>
      <c r="H229" s="353"/>
      <c r="I229" s="433"/>
      <c r="J229" s="433"/>
    </row>
    <row r="230">
      <c r="A230" s="433"/>
      <c r="B230" s="456"/>
      <c r="C230" s="433"/>
      <c r="D230" s="433"/>
      <c r="E230" s="460"/>
      <c r="F230" s="351"/>
      <c r="G230" s="456"/>
      <c r="H230" s="353"/>
      <c r="I230" s="433"/>
      <c r="J230" s="433"/>
    </row>
    <row r="231">
      <c r="A231" s="433"/>
      <c r="B231" s="456"/>
      <c r="C231" s="433"/>
      <c r="D231" s="433"/>
      <c r="E231" s="460"/>
      <c r="F231" s="351"/>
      <c r="G231" s="456"/>
      <c r="H231" s="353"/>
      <c r="I231" s="433"/>
      <c r="J231" s="433"/>
    </row>
    <row r="232">
      <c r="A232" s="433"/>
      <c r="B232" s="456"/>
      <c r="C232" s="433"/>
      <c r="D232" s="433"/>
      <c r="E232" s="460"/>
      <c r="F232" s="351"/>
      <c r="G232" s="456"/>
      <c r="H232" s="353"/>
      <c r="I232" s="433"/>
      <c r="J232" s="433"/>
    </row>
    <row r="233">
      <c r="A233" s="433"/>
      <c r="B233" s="456"/>
      <c r="C233" s="433"/>
      <c r="D233" s="433"/>
      <c r="E233" s="460"/>
      <c r="F233" s="351"/>
      <c r="G233" s="456"/>
      <c r="H233" s="353"/>
      <c r="I233" s="433"/>
      <c r="J233" s="433"/>
    </row>
    <row r="234">
      <c r="A234" s="433"/>
      <c r="B234" s="456"/>
      <c r="C234" s="433"/>
      <c r="D234" s="433"/>
      <c r="E234" s="460"/>
      <c r="F234" s="351"/>
      <c r="G234" s="456"/>
      <c r="H234" s="353"/>
      <c r="I234" s="433"/>
      <c r="J234" s="433"/>
    </row>
    <row r="235">
      <c r="A235" s="433"/>
      <c r="B235" s="456"/>
      <c r="C235" s="433"/>
      <c r="D235" s="433"/>
      <c r="E235" s="460"/>
      <c r="F235" s="351"/>
      <c r="G235" s="456"/>
      <c r="H235" s="353"/>
      <c r="I235" s="433"/>
      <c r="J235" s="433"/>
    </row>
    <row r="236">
      <c r="A236" s="433"/>
      <c r="B236" s="456"/>
      <c r="C236" s="433"/>
      <c r="D236" s="433"/>
      <c r="E236" s="460"/>
      <c r="F236" s="351"/>
      <c r="G236" s="456"/>
      <c r="H236" s="353"/>
      <c r="I236" s="433"/>
      <c r="J236" s="433"/>
    </row>
    <row r="237">
      <c r="A237" s="433"/>
      <c r="B237" s="456"/>
      <c r="C237" s="433"/>
      <c r="D237" s="433"/>
      <c r="E237" s="460"/>
      <c r="F237" s="351"/>
      <c r="G237" s="456"/>
      <c r="H237" s="353"/>
      <c r="I237" s="433"/>
      <c r="J237" s="433"/>
    </row>
    <row r="238">
      <c r="A238" s="433"/>
      <c r="B238" s="456"/>
      <c r="C238" s="433"/>
      <c r="D238" s="433"/>
      <c r="E238" s="460"/>
      <c r="F238" s="351"/>
      <c r="G238" s="456"/>
      <c r="H238" s="353"/>
      <c r="I238" s="433"/>
      <c r="J238" s="433"/>
    </row>
    <row r="239">
      <c r="A239" s="433"/>
      <c r="B239" s="456"/>
      <c r="C239" s="433"/>
      <c r="D239" s="433"/>
      <c r="E239" s="460"/>
      <c r="F239" s="351"/>
      <c r="G239" s="456"/>
      <c r="H239" s="353"/>
      <c r="I239" s="433"/>
      <c r="J239" s="433"/>
    </row>
    <row r="240">
      <c r="A240" s="433"/>
      <c r="B240" s="456"/>
      <c r="C240" s="433"/>
      <c r="D240" s="433"/>
      <c r="E240" s="460"/>
      <c r="F240" s="351"/>
      <c r="G240" s="456"/>
      <c r="H240" s="353"/>
      <c r="I240" s="433"/>
      <c r="J240" s="433"/>
    </row>
    <row r="241">
      <c r="A241" s="433"/>
      <c r="B241" s="456"/>
      <c r="C241" s="433"/>
      <c r="D241" s="433"/>
      <c r="E241" s="460"/>
      <c r="F241" s="351"/>
      <c r="G241" s="456"/>
      <c r="H241" s="353"/>
      <c r="I241" s="433"/>
      <c r="J241" s="433"/>
    </row>
    <row r="242">
      <c r="A242" s="433"/>
      <c r="B242" s="456"/>
      <c r="C242" s="433"/>
      <c r="D242" s="433"/>
      <c r="E242" s="460"/>
      <c r="F242" s="351"/>
      <c r="G242" s="456"/>
      <c r="H242" s="353"/>
      <c r="I242" s="433"/>
      <c r="J242" s="433"/>
    </row>
    <row r="243">
      <c r="A243" s="433"/>
      <c r="B243" s="456"/>
      <c r="C243" s="433"/>
      <c r="D243" s="433"/>
      <c r="E243" s="460"/>
      <c r="F243" s="351"/>
      <c r="G243" s="456"/>
      <c r="H243" s="353"/>
      <c r="I243" s="433"/>
      <c r="J243" s="433"/>
    </row>
    <row r="244">
      <c r="A244" s="433"/>
      <c r="B244" s="456"/>
      <c r="C244" s="433"/>
      <c r="D244" s="433"/>
      <c r="E244" s="460"/>
      <c r="F244" s="351"/>
      <c r="G244" s="456"/>
      <c r="H244" s="353"/>
      <c r="I244" s="433"/>
      <c r="J244" s="433"/>
    </row>
    <row r="245">
      <c r="A245" s="433"/>
      <c r="B245" s="456"/>
      <c r="C245" s="433"/>
      <c r="D245" s="433"/>
      <c r="E245" s="460"/>
      <c r="F245" s="351"/>
      <c r="G245" s="456"/>
      <c r="H245" s="353"/>
      <c r="I245" s="433"/>
      <c r="J245" s="433"/>
    </row>
    <row r="246">
      <c r="A246" s="433"/>
      <c r="B246" s="456"/>
      <c r="C246" s="433"/>
      <c r="D246" s="433"/>
      <c r="E246" s="460"/>
      <c r="F246" s="351"/>
      <c r="G246" s="456"/>
      <c r="H246" s="353"/>
      <c r="I246" s="433"/>
      <c r="J246" s="433"/>
    </row>
    <row r="247">
      <c r="A247" s="433"/>
      <c r="B247" s="456"/>
      <c r="C247" s="433"/>
      <c r="D247" s="433"/>
      <c r="E247" s="460"/>
      <c r="F247" s="351"/>
      <c r="G247" s="456"/>
      <c r="H247" s="353"/>
      <c r="I247" s="433"/>
      <c r="J247" s="433"/>
    </row>
    <row r="248">
      <c r="A248" s="433"/>
      <c r="B248" s="456"/>
      <c r="C248" s="433"/>
      <c r="D248" s="433"/>
      <c r="E248" s="460"/>
      <c r="F248" s="351"/>
      <c r="G248" s="456"/>
      <c r="H248" s="353"/>
      <c r="I248" s="433"/>
      <c r="J248" s="433"/>
    </row>
    <row r="249">
      <c r="A249" s="433"/>
      <c r="B249" s="456"/>
      <c r="C249" s="433"/>
      <c r="D249" s="433"/>
      <c r="E249" s="460"/>
      <c r="F249" s="351"/>
      <c r="G249" s="456"/>
      <c r="H249" s="353"/>
      <c r="I249" s="433"/>
      <c r="J249" s="433"/>
    </row>
    <row r="250">
      <c r="A250" s="433"/>
      <c r="B250" s="456"/>
      <c r="C250" s="433"/>
      <c r="D250" s="433"/>
      <c r="E250" s="460"/>
      <c r="F250" s="351"/>
      <c r="G250" s="456"/>
      <c r="H250" s="353"/>
      <c r="I250" s="433"/>
      <c r="J250" s="433"/>
    </row>
    <row r="251">
      <c r="A251" s="433"/>
      <c r="B251" s="456"/>
      <c r="C251" s="433"/>
      <c r="D251" s="433"/>
      <c r="E251" s="460"/>
      <c r="F251" s="351"/>
      <c r="G251" s="456"/>
      <c r="H251" s="353"/>
      <c r="I251" s="433"/>
      <c r="J251" s="433"/>
    </row>
    <row r="252">
      <c r="A252" s="433"/>
      <c r="B252" s="456"/>
      <c r="C252" s="433"/>
      <c r="D252" s="433"/>
      <c r="E252" s="460"/>
      <c r="F252" s="351"/>
      <c r="G252" s="456"/>
      <c r="H252" s="353"/>
      <c r="I252" s="433"/>
      <c r="J252" s="433"/>
    </row>
    <row r="253">
      <c r="A253" s="433"/>
      <c r="B253" s="456"/>
      <c r="C253" s="433"/>
      <c r="D253" s="433"/>
      <c r="E253" s="460"/>
      <c r="F253" s="351"/>
      <c r="G253" s="456"/>
      <c r="H253" s="353"/>
      <c r="I253" s="433"/>
      <c r="J253" s="433"/>
    </row>
    <row r="254">
      <c r="A254" s="433"/>
      <c r="B254" s="456"/>
      <c r="C254" s="433"/>
      <c r="D254" s="433"/>
      <c r="E254" s="460"/>
      <c r="F254" s="351"/>
      <c r="G254" s="456"/>
      <c r="H254" s="353"/>
      <c r="I254" s="433"/>
      <c r="J254" s="433"/>
    </row>
    <row r="255">
      <c r="A255" s="433"/>
      <c r="B255" s="456"/>
      <c r="C255" s="433"/>
      <c r="D255" s="433"/>
      <c r="E255" s="460"/>
      <c r="F255" s="351"/>
      <c r="G255" s="456"/>
      <c r="H255" s="353"/>
      <c r="I255" s="433"/>
      <c r="J255" s="433"/>
    </row>
    <row r="256">
      <c r="A256" s="433"/>
      <c r="B256" s="456"/>
      <c r="C256" s="433"/>
      <c r="D256" s="433"/>
      <c r="E256" s="460"/>
      <c r="F256" s="351"/>
      <c r="G256" s="456"/>
      <c r="H256" s="353"/>
      <c r="I256" s="433"/>
      <c r="J256" s="433"/>
    </row>
    <row r="257">
      <c r="A257" s="433"/>
      <c r="B257" s="456"/>
      <c r="C257" s="433"/>
      <c r="D257" s="433"/>
      <c r="E257" s="460"/>
      <c r="F257" s="351"/>
      <c r="G257" s="456"/>
      <c r="H257" s="353"/>
      <c r="I257" s="433"/>
      <c r="J257" s="433"/>
    </row>
    <row r="258">
      <c r="A258" s="433"/>
      <c r="B258" s="456"/>
      <c r="C258" s="433"/>
      <c r="D258" s="433"/>
      <c r="E258" s="460"/>
      <c r="F258" s="351"/>
      <c r="G258" s="456"/>
      <c r="H258" s="353"/>
      <c r="I258" s="433"/>
      <c r="J258" s="433"/>
    </row>
    <row r="259">
      <c r="A259" s="433"/>
      <c r="B259" s="456"/>
      <c r="C259" s="433"/>
      <c r="D259" s="433"/>
      <c r="E259" s="460"/>
      <c r="F259" s="351"/>
      <c r="G259" s="456"/>
      <c r="H259" s="353"/>
      <c r="I259" s="433"/>
      <c r="J259" s="433"/>
    </row>
    <row r="260">
      <c r="A260" s="433"/>
      <c r="B260" s="456"/>
      <c r="C260" s="433"/>
      <c r="D260" s="433"/>
      <c r="E260" s="460"/>
      <c r="F260" s="351"/>
      <c r="G260" s="456"/>
      <c r="H260" s="353"/>
      <c r="I260" s="433"/>
      <c r="J260" s="433"/>
    </row>
    <row r="261">
      <c r="A261" s="433"/>
      <c r="B261" s="456"/>
      <c r="C261" s="433"/>
      <c r="D261" s="433"/>
      <c r="E261" s="460"/>
      <c r="F261" s="351"/>
      <c r="G261" s="456"/>
      <c r="H261" s="353"/>
      <c r="I261" s="433"/>
      <c r="J261" s="433"/>
    </row>
    <row r="262">
      <c r="A262" s="433"/>
      <c r="B262" s="456"/>
      <c r="C262" s="433"/>
      <c r="D262" s="433"/>
      <c r="E262" s="460"/>
      <c r="F262" s="351"/>
      <c r="G262" s="456"/>
      <c r="H262" s="353"/>
      <c r="I262" s="433"/>
      <c r="J262" s="433"/>
    </row>
    <row r="263">
      <c r="A263" s="433"/>
      <c r="B263" s="456"/>
      <c r="C263" s="433"/>
      <c r="D263" s="433"/>
      <c r="E263" s="460"/>
      <c r="F263" s="351"/>
      <c r="G263" s="456"/>
      <c r="H263" s="353"/>
      <c r="I263" s="433"/>
      <c r="J263" s="433"/>
    </row>
    <row r="264">
      <c r="A264" s="433"/>
      <c r="B264" s="456"/>
      <c r="C264" s="433"/>
      <c r="D264" s="433"/>
      <c r="E264" s="460"/>
      <c r="F264" s="351"/>
      <c r="G264" s="456"/>
      <c r="H264" s="353"/>
      <c r="I264" s="433"/>
      <c r="J264" s="433"/>
    </row>
    <row r="265">
      <c r="A265" s="433"/>
      <c r="B265" s="456"/>
      <c r="C265" s="433"/>
      <c r="D265" s="433"/>
      <c r="E265" s="460"/>
      <c r="F265" s="351"/>
      <c r="G265" s="456"/>
      <c r="H265" s="353"/>
      <c r="I265" s="433"/>
      <c r="J265" s="433"/>
    </row>
    <row r="266">
      <c r="A266" s="433"/>
      <c r="B266" s="456"/>
      <c r="C266" s="433"/>
      <c r="D266" s="433"/>
      <c r="E266" s="460"/>
      <c r="F266" s="351"/>
      <c r="G266" s="456"/>
      <c r="H266" s="353"/>
      <c r="I266" s="433"/>
      <c r="J266" s="433"/>
    </row>
    <row r="267">
      <c r="A267" s="433"/>
      <c r="B267" s="456"/>
      <c r="C267" s="433"/>
      <c r="D267" s="433"/>
      <c r="E267" s="460"/>
      <c r="F267" s="351"/>
      <c r="G267" s="456"/>
      <c r="H267" s="353"/>
      <c r="I267" s="433"/>
      <c r="J267" s="433"/>
    </row>
    <row r="268">
      <c r="A268" s="433"/>
      <c r="B268" s="456"/>
      <c r="C268" s="433"/>
      <c r="D268" s="433"/>
      <c r="E268" s="460"/>
      <c r="F268" s="351"/>
      <c r="G268" s="456"/>
      <c r="H268" s="353"/>
      <c r="I268" s="433"/>
      <c r="J268" s="433"/>
    </row>
    <row r="269">
      <c r="A269" s="433"/>
      <c r="B269" s="456"/>
      <c r="C269" s="433"/>
      <c r="D269" s="433"/>
      <c r="E269" s="460"/>
      <c r="F269" s="351"/>
      <c r="G269" s="456"/>
      <c r="H269" s="353"/>
      <c r="I269" s="433"/>
      <c r="J269" s="433"/>
    </row>
    <row r="270">
      <c r="A270" s="433"/>
      <c r="B270" s="456"/>
      <c r="C270" s="433"/>
      <c r="D270" s="433"/>
      <c r="E270" s="460"/>
      <c r="F270" s="351"/>
      <c r="G270" s="456"/>
      <c r="H270" s="353"/>
      <c r="I270" s="433"/>
      <c r="J270" s="433"/>
    </row>
    <row r="271">
      <c r="A271" s="433"/>
      <c r="B271" s="456"/>
      <c r="C271" s="433"/>
      <c r="D271" s="433"/>
      <c r="E271" s="460"/>
      <c r="F271" s="351"/>
      <c r="G271" s="456"/>
      <c r="H271" s="353"/>
      <c r="I271" s="433"/>
      <c r="J271" s="433"/>
    </row>
    <row r="272">
      <c r="A272" s="433"/>
      <c r="B272" s="456"/>
      <c r="C272" s="433"/>
      <c r="D272" s="433"/>
      <c r="E272" s="460"/>
      <c r="F272" s="351"/>
      <c r="G272" s="456"/>
      <c r="H272" s="353"/>
      <c r="I272" s="433"/>
      <c r="J272" s="433"/>
    </row>
    <row r="273">
      <c r="A273" s="433"/>
      <c r="B273" s="456"/>
      <c r="C273" s="433"/>
      <c r="D273" s="433"/>
      <c r="E273" s="460"/>
      <c r="F273" s="351"/>
      <c r="G273" s="456"/>
      <c r="H273" s="353"/>
      <c r="I273" s="433"/>
      <c r="J273" s="433"/>
    </row>
    <row r="274">
      <c r="A274" s="433"/>
      <c r="B274" s="456"/>
      <c r="C274" s="433"/>
      <c r="D274" s="433"/>
      <c r="E274" s="460"/>
      <c r="F274" s="351"/>
      <c r="G274" s="456"/>
      <c r="H274" s="353"/>
      <c r="I274" s="433"/>
      <c r="J274" s="433"/>
    </row>
    <row r="275">
      <c r="A275" s="433"/>
      <c r="B275" s="456"/>
      <c r="C275" s="433"/>
      <c r="D275" s="433"/>
      <c r="E275" s="460"/>
      <c r="F275" s="351"/>
      <c r="G275" s="456"/>
      <c r="H275" s="353"/>
      <c r="I275" s="433"/>
      <c r="J275" s="433"/>
    </row>
    <row r="276">
      <c r="A276" s="433"/>
      <c r="B276" s="456"/>
      <c r="C276" s="433"/>
      <c r="D276" s="433"/>
      <c r="E276" s="460"/>
      <c r="F276" s="351"/>
      <c r="G276" s="456"/>
      <c r="H276" s="353"/>
      <c r="I276" s="433"/>
      <c r="J276" s="433"/>
    </row>
    <row r="277">
      <c r="A277" s="433"/>
      <c r="B277" s="456"/>
      <c r="C277" s="433"/>
      <c r="D277" s="433"/>
      <c r="E277" s="460"/>
      <c r="F277" s="351"/>
      <c r="G277" s="456"/>
      <c r="H277" s="353"/>
      <c r="I277" s="433"/>
      <c r="J277" s="433"/>
    </row>
    <row r="278">
      <c r="A278" s="433"/>
      <c r="B278" s="456"/>
      <c r="C278" s="433"/>
      <c r="D278" s="433"/>
      <c r="E278" s="460"/>
      <c r="F278" s="351"/>
      <c r="G278" s="456"/>
      <c r="H278" s="353"/>
      <c r="I278" s="433"/>
      <c r="J278" s="433"/>
    </row>
    <row r="279">
      <c r="A279" s="433"/>
      <c r="B279" s="456"/>
      <c r="C279" s="433"/>
      <c r="D279" s="433"/>
      <c r="E279" s="460"/>
      <c r="F279" s="351"/>
      <c r="G279" s="456"/>
      <c r="H279" s="353"/>
      <c r="I279" s="433"/>
      <c r="J279" s="433"/>
    </row>
    <row r="280">
      <c r="A280" s="433"/>
      <c r="B280" s="456"/>
      <c r="C280" s="433"/>
      <c r="D280" s="433"/>
      <c r="E280" s="460"/>
      <c r="F280" s="351"/>
      <c r="G280" s="456"/>
      <c r="H280" s="353"/>
      <c r="I280" s="433"/>
      <c r="J280" s="433"/>
    </row>
    <row r="281">
      <c r="A281" s="433"/>
      <c r="B281" s="456"/>
      <c r="C281" s="433"/>
      <c r="D281" s="433"/>
      <c r="E281" s="460"/>
      <c r="F281" s="351"/>
      <c r="G281" s="456"/>
      <c r="H281" s="353"/>
      <c r="I281" s="433"/>
      <c r="J281" s="433"/>
    </row>
    <row r="282">
      <c r="A282" s="433"/>
      <c r="B282" s="456"/>
      <c r="C282" s="433"/>
      <c r="D282" s="433"/>
      <c r="E282" s="460"/>
      <c r="F282" s="351"/>
      <c r="G282" s="456"/>
      <c r="H282" s="353"/>
      <c r="I282" s="433"/>
      <c r="J282" s="433"/>
    </row>
    <row r="283">
      <c r="A283" s="433"/>
      <c r="B283" s="456"/>
      <c r="C283" s="433"/>
      <c r="D283" s="433"/>
      <c r="E283" s="460"/>
      <c r="F283" s="351"/>
      <c r="G283" s="456"/>
      <c r="H283" s="353"/>
      <c r="I283" s="433"/>
      <c r="J283" s="433"/>
    </row>
    <row r="284">
      <c r="A284" s="433"/>
      <c r="B284" s="456"/>
      <c r="C284" s="433"/>
      <c r="D284" s="433"/>
      <c r="E284" s="460"/>
      <c r="F284" s="351"/>
      <c r="G284" s="456"/>
      <c r="H284" s="353"/>
      <c r="I284" s="433"/>
      <c r="J284" s="433"/>
    </row>
    <row r="285">
      <c r="A285" s="433"/>
      <c r="B285" s="456"/>
      <c r="C285" s="433"/>
      <c r="D285" s="433"/>
      <c r="E285" s="460"/>
      <c r="F285" s="351"/>
      <c r="G285" s="456"/>
      <c r="H285" s="353"/>
      <c r="I285" s="433"/>
      <c r="J285" s="433"/>
    </row>
    <row r="286">
      <c r="A286" s="433"/>
      <c r="B286" s="456"/>
      <c r="C286" s="433"/>
      <c r="D286" s="433"/>
      <c r="E286" s="460"/>
      <c r="F286" s="351"/>
      <c r="G286" s="456"/>
      <c r="H286" s="353"/>
      <c r="I286" s="433"/>
      <c r="J286" s="433"/>
    </row>
    <row r="287">
      <c r="A287" s="433"/>
      <c r="B287" s="456"/>
      <c r="C287" s="433"/>
      <c r="D287" s="433"/>
      <c r="E287" s="460"/>
      <c r="F287" s="351"/>
      <c r="G287" s="456"/>
      <c r="H287" s="353"/>
      <c r="I287" s="433"/>
      <c r="J287" s="433"/>
    </row>
    <row r="288">
      <c r="A288" s="433"/>
      <c r="B288" s="456"/>
      <c r="C288" s="433"/>
      <c r="D288" s="433"/>
      <c r="E288" s="460"/>
      <c r="F288" s="351"/>
      <c r="G288" s="456"/>
      <c r="H288" s="353"/>
      <c r="I288" s="433"/>
      <c r="J288" s="433"/>
    </row>
    <row r="289">
      <c r="A289" s="433"/>
      <c r="B289" s="456"/>
      <c r="C289" s="433"/>
      <c r="D289" s="433"/>
      <c r="E289" s="460"/>
      <c r="F289" s="351"/>
      <c r="G289" s="456"/>
      <c r="H289" s="353"/>
      <c r="I289" s="433"/>
      <c r="J289" s="433"/>
    </row>
    <row r="290">
      <c r="A290" s="433"/>
      <c r="B290" s="456"/>
      <c r="C290" s="433"/>
      <c r="D290" s="433"/>
      <c r="E290" s="460"/>
      <c r="F290" s="351"/>
      <c r="G290" s="456"/>
      <c r="H290" s="353"/>
      <c r="I290" s="433"/>
      <c r="J290" s="433"/>
    </row>
    <row r="291">
      <c r="A291" s="433"/>
      <c r="B291" s="456"/>
      <c r="C291" s="433"/>
      <c r="D291" s="433"/>
      <c r="E291" s="460"/>
      <c r="F291" s="351"/>
      <c r="G291" s="456"/>
      <c r="H291" s="353"/>
      <c r="I291" s="433"/>
      <c r="J291" s="433"/>
    </row>
    <row r="292">
      <c r="A292" s="433"/>
      <c r="B292" s="456"/>
      <c r="C292" s="433"/>
      <c r="D292" s="433"/>
      <c r="E292" s="460"/>
      <c r="F292" s="351"/>
      <c r="G292" s="456"/>
      <c r="H292" s="353"/>
      <c r="I292" s="433"/>
      <c r="J292" s="433"/>
    </row>
    <row r="293">
      <c r="A293" s="433"/>
      <c r="B293" s="456"/>
      <c r="C293" s="433"/>
      <c r="D293" s="433"/>
      <c r="E293" s="460"/>
      <c r="F293" s="351"/>
      <c r="G293" s="456"/>
      <c r="H293" s="353"/>
      <c r="I293" s="433"/>
      <c r="J293" s="433"/>
    </row>
    <row r="294">
      <c r="A294" s="433"/>
      <c r="B294" s="456"/>
      <c r="C294" s="433"/>
      <c r="D294" s="433"/>
      <c r="E294" s="460"/>
      <c r="F294" s="351"/>
      <c r="G294" s="456"/>
      <c r="H294" s="353"/>
      <c r="I294" s="433"/>
      <c r="J294" s="433"/>
    </row>
    <row r="295">
      <c r="A295" s="433"/>
      <c r="B295" s="456"/>
      <c r="C295" s="433"/>
      <c r="D295" s="433"/>
      <c r="E295" s="460"/>
      <c r="F295" s="351"/>
      <c r="G295" s="456"/>
      <c r="H295" s="353"/>
      <c r="I295" s="433"/>
      <c r="J295" s="433"/>
    </row>
    <row r="296">
      <c r="A296" s="433"/>
      <c r="B296" s="456"/>
      <c r="C296" s="433"/>
      <c r="D296" s="433"/>
      <c r="E296" s="460"/>
      <c r="F296" s="351"/>
      <c r="G296" s="456"/>
      <c r="H296" s="353"/>
      <c r="I296" s="433"/>
      <c r="J296" s="433"/>
    </row>
    <row r="297">
      <c r="A297" s="433"/>
      <c r="B297" s="456"/>
      <c r="C297" s="433"/>
      <c r="D297" s="433"/>
      <c r="E297" s="460"/>
      <c r="F297" s="351"/>
      <c r="G297" s="456"/>
      <c r="H297" s="353"/>
      <c r="I297" s="433"/>
      <c r="J297" s="433"/>
    </row>
    <row r="298">
      <c r="A298" s="433"/>
      <c r="B298" s="456"/>
      <c r="C298" s="433"/>
      <c r="D298" s="433"/>
      <c r="E298" s="460"/>
      <c r="F298" s="351"/>
      <c r="G298" s="456"/>
      <c r="H298" s="353"/>
      <c r="I298" s="433"/>
      <c r="J298" s="433"/>
    </row>
    <row r="299">
      <c r="A299" s="433"/>
      <c r="B299" s="456"/>
      <c r="C299" s="433"/>
      <c r="D299" s="433"/>
      <c r="E299" s="460"/>
      <c r="F299" s="351"/>
      <c r="G299" s="456"/>
      <c r="H299" s="353"/>
      <c r="I299" s="433"/>
      <c r="J299" s="433"/>
    </row>
    <row r="300">
      <c r="A300" s="433"/>
      <c r="B300" s="456"/>
      <c r="C300" s="433"/>
      <c r="D300" s="433"/>
      <c r="E300" s="460"/>
      <c r="F300" s="351"/>
      <c r="G300" s="456"/>
      <c r="H300" s="353"/>
      <c r="I300" s="433"/>
      <c r="J300" s="433"/>
    </row>
    <row r="301">
      <c r="A301" s="433"/>
      <c r="B301" s="456"/>
      <c r="C301" s="433"/>
      <c r="D301" s="433"/>
      <c r="E301" s="460"/>
      <c r="F301" s="351"/>
      <c r="G301" s="456"/>
      <c r="H301" s="353"/>
      <c r="I301" s="433"/>
      <c r="J301" s="433"/>
    </row>
    <row r="302">
      <c r="A302" s="433"/>
      <c r="B302" s="456"/>
      <c r="C302" s="433"/>
      <c r="D302" s="433"/>
      <c r="E302" s="460"/>
      <c r="F302" s="351"/>
      <c r="G302" s="456"/>
      <c r="H302" s="353"/>
      <c r="I302" s="433"/>
      <c r="J302" s="433"/>
    </row>
    <row r="303">
      <c r="A303" s="433"/>
      <c r="B303" s="456"/>
      <c r="C303" s="433"/>
      <c r="D303" s="433"/>
      <c r="E303" s="460"/>
      <c r="F303" s="351"/>
      <c r="G303" s="456"/>
      <c r="H303" s="353"/>
      <c r="I303" s="433"/>
      <c r="J303" s="433"/>
    </row>
    <row r="304">
      <c r="A304" s="433"/>
      <c r="B304" s="456"/>
      <c r="C304" s="433"/>
      <c r="D304" s="433"/>
      <c r="E304" s="460"/>
      <c r="F304" s="351"/>
      <c r="G304" s="456"/>
      <c r="H304" s="353"/>
      <c r="I304" s="433"/>
      <c r="J304" s="433"/>
    </row>
    <row r="305">
      <c r="A305" s="433"/>
      <c r="B305" s="456"/>
      <c r="C305" s="433"/>
      <c r="D305" s="433"/>
      <c r="E305" s="460"/>
      <c r="F305" s="351"/>
      <c r="G305" s="456"/>
      <c r="H305" s="353"/>
      <c r="I305" s="433"/>
      <c r="J305" s="433"/>
    </row>
    <row r="306">
      <c r="A306" s="433"/>
      <c r="B306" s="456"/>
      <c r="C306" s="433"/>
      <c r="D306" s="433"/>
      <c r="E306" s="460"/>
      <c r="F306" s="351"/>
      <c r="G306" s="456"/>
      <c r="H306" s="353"/>
      <c r="I306" s="433"/>
      <c r="J306" s="433"/>
    </row>
    <row r="307">
      <c r="A307" s="433"/>
      <c r="B307" s="456"/>
      <c r="C307" s="433"/>
      <c r="D307" s="433"/>
      <c r="E307" s="460"/>
      <c r="F307" s="351"/>
      <c r="G307" s="456"/>
      <c r="H307" s="353"/>
      <c r="I307" s="433"/>
      <c r="J307" s="433"/>
    </row>
    <row r="308">
      <c r="A308" s="433"/>
      <c r="B308" s="456"/>
      <c r="C308" s="433"/>
      <c r="D308" s="433"/>
      <c r="E308" s="460"/>
      <c r="F308" s="351"/>
      <c r="G308" s="456"/>
      <c r="H308" s="353"/>
      <c r="I308" s="433"/>
      <c r="J308" s="433"/>
    </row>
    <row r="309">
      <c r="A309" s="433"/>
      <c r="B309" s="456"/>
      <c r="C309" s="433"/>
      <c r="D309" s="433"/>
      <c r="E309" s="460"/>
      <c r="F309" s="351"/>
      <c r="G309" s="456"/>
      <c r="H309" s="353"/>
      <c r="I309" s="433"/>
      <c r="J309" s="433"/>
    </row>
    <row r="310">
      <c r="A310" s="433"/>
      <c r="B310" s="456"/>
      <c r="C310" s="433"/>
      <c r="D310" s="433"/>
      <c r="E310" s="460"/>
      <c r="F310" s="351"/>
      <c r="G310" s="456"/>
      <c r="H310" s="353"/>
      <c r="I310" s="433"/>
      <c r="J310" s="433"/>
    </row>
    <row r="311">
      <c r="A311" s="433"/>
      <c r="B311" s="456"/>
      <c r="C311" s="433"/>
      <c r="D311" s="433"/>
      <c r="E311" s="460"/>
      <c r="F311" s="351"/>
      <c r="G311" s="456"/>
      <c r="H311" s="353"/>
      <c r="I311" s="433"/>
      <c r="J311" s="433"/>
    </row>
    <row r="312">
      <c r="A312" s="433"/>
      <c r="B312" s="456"/>
      <c r="C312" s="433"/>
      <c r="D312" s="433"/>
      <c r="E312" s="460"/>
      <c r="F312" s="351"/>
      <c r="G312" s="456"/>
      <c r="H312" s="353"/>
      <c r="I312" s="433"/>
      <c r="J312" s="433"/>
    </row>
    <row r="313">
      <c r="A313" s="433"/>
      <c r="B313" s="456"/>
      <c r="C313" s="433"/>
      <c r="D313" s="433"/>
      <c r="E313" s="460"/>
      <c r="F313" s="351"/>
      <c r="G313" s="456"/>
      <c r="H313" s="353"/>
      <c r="I313" s="433"/>
      <c r="J313" s="433"/>
    </row>
    <row r="314">
      <c r="A314" s="433"/>
      <c r="B314" s="456"/>
      <c r="C314" s="433"/>
      <c r="D314" s="433"/>
      <c r="E314" s="460"/>
      <c r="F314" s="351"/>
      <c r="G314" s="456"/>
      <c r="H314" s="353"/>
      <c r="I314" s="433"/>
      <c r="J314" s="433"/>
    </row>
    <row r="315">
      <c r="A315" s="433"/>
      <c r="B315" s="456"/>
      <c r="C315" s="433"/>
      <c r="D315" s="433"/>
      <c r="E315" s="460"/>
      <c r="F315" s="351"/>
      <c r="G315" s="456"/>
      <c r="H315" s="353"/>
      <c r="I315" s="433"/>
      <c r="J315" s="433"/>
    </row>
    <row r="316">
      <c r="A316" s="433"/>
      <c r="B316" s="456"/>
      <c r="C316" s="433"/>
      <c r="D316" s="433"/>
      <c r="E316" s="460"/>
      <c r="F316" s="351"/>
      <c r="G316" s="456"/>
      <c r="H316" s="353"/>
      <c r="I316" s="433"/>
      <c r="J316" s="433"/>
    </row>
    <row r="317">
      <c r="A317" s="433"/>
      <c r="B317" s="456"/>
      <c r="C317" s="433"/>
      <c r="D317" s="433"/>
      <c r="E317" s="460"/>
      <c r="F317" s="351"/>
      <c r="G317" s="456"/>
      <c r="H317" s="353"/>
      <c r="I317" s="433"/>
      <c r="J317" s="433"/>
    </row>
    <row r="318">
      <c r="A318" s="433"/>
      <c r="B318" s="456"/>
      <c r="C318" s="433"/>
      <c r="D318" s="433"/>
      <c r="E318" s="460"/>
      <c r="F318" s="351"/>
      <c r="G318" s="456"/>
      <c r="H318" s="353"/>
      <c r="I318" s="433"/>
      <c r="J318" s="433"/>
    </row>
    <row r="319">
      <c r="A319" s="433"/>
      <c r="B319" s="456"/>
      <c r="C319" s="433"/>
      <c r="D319" s="433"/>
      <c r="E319" s="460"/>
      <c r="F319" s="351"/>
      <c r="G319" s="456"/>
      <c r="H319" s="353"/>
      <c r="I319" s="433"/>
      <c r="J319" s="433"/>
    </row>
    <row r="320">
      <c r="A320" s="433"/>
      <c r="B320" s="456"/>
      <c r="C320" s="433"/>
      <c r="D320" s="433"/>
      <c r="E320" s="460"/>
      <c r="F320" s="351"/>
      <c r="G320" s="456"/>
      <c r="H320" s="353"/>
      <c r="I320" s="433"/>
      <c r="J320" s="433"/>
    </row>
    <row r="321">
      <c r="A321" s="433"/>
      <c r="B321" s="456"/>
      <c r="C321" s="433"/>
      <c r="D321" s="433"/>
      <c r="E321" s="460"/>
      <c r="F321" s="351"/>
      <c r="G321" s="456"/>
      <c r="H321" s="353"/>
      <c r="I321" s="433"/>
      <c r="J321" s="433"/>
    </row>
    <row r="322">
      <c r="A322" s="433"/>
      <c r="B322" s="456"/>
      <c r="C322" s="433"/>
      <c r="D322" s="433"/>
      <c r="E322" s="460"/>
      <c r="F322" s="351"/>
      <c r="G322" s="456"/>
      <c r="H322" s="353"/>
      <c r="I322" s="433"/>
      <c r="J322" s="433"/>
    </row>
    <row r="323">
      <c r="A323" s="433"/>
      <c r="B323" s="456"/>
      <c r="C323" s="433"/>
      <c r="D323" s="433"/>
      <c r="E323" s="460"/>
      <c r="F323" s="351"/>
      <c r="G323" s="456"/>
      <c r="H323" s="353"/>
      <c r="I323" s="433"/>
      <c r="J323" s="433"/>
    </row>
    <row r="324">
      <c r="A324" s="433"/>
      <c r="B324" s="456"/>
      <c r="C324" s="433"/>
      <c r="D324" s="433"/>
      <c r="E324" s="460"/>
      <c r="F324" s="351"/>
      <c r="G324" s="456"/>
      <c r="H324" s="353"/>
      <c r="I324" s="433"/>
      <c r="J324" s="433"/>
    </row>
    <row r="325">
      <c r="A325" s="433"/>
      <c r="B325" s="456"/>
      <c r="C325" s="433"/>
      <c r="D325" s="433"/>
      <c r="E325" s="460"/>
      <c r="F325" s="351"/>
      <c r="G325" s="456"/>
      <c r="H325" s="353"/>
      <c r="I325" s="433"/>
      <c r="J325" s="433"/>
    </row>
    <row r="326">
      <c r="A326" s="433"/>
      <c r="B326" s="456"/>
      <c r="C326" s="433"/>
      <c r="D326" s="433"/>
      <c r="E326" s="460"/>
      <c r="F326" s="351"/>
      <c r="G326" s="456"/>
      <c r="H326" s="353"/>
      <c r="I326" s="433"/>
      <c r="J326" s="433"/>
    </row>
    <row r="327">
      <c r="A327" s="433"/>
      <c r="B327" s="456"/>
      <c r="C327" s="433"/>
      <c r="D327" s="433"/>
      <c r="E327" s="460"/>
      <c r="F327" s="351"/>
      <c r="G327" s="456"/>
      <c r="H327" s="353"/>
      <c r="I327" s="433"/>
      <c r="J327" s="433"/>
    </row>
    <row r="328">
      <c r="A328" s="433"/>
      <c r="B328" s="456"/>
      <c r="C328" s="433"/>
      <c r="D328" s="433"/>
      <c r="E328" s="460"/>
      <c r="F328" s="351"/>
      <c r="G328" s="456"/>
      <c r="H328" s="353"/>
      <c r="I328" s="433"/>
      <c r="J328" s="433"/>
    </row>
    <row r="329">
      <c r="A329" s="433"/>
      <c r="B329" s="456"/>
      <c r="C329" s="433"/>
      <c r="D329" s="433"/>
      <c r="E329" s="460"/>
      <c r="F329" s="351"/>
      <c r="G329" s="456"/>
      <c r="H329" s="353"/>
      <c r="I329" s="433"/>
      <c r="J329" s="433"/>
    </row>
    <row r="330">
      <c r="A330" s="433"/>
      <c r="B330" s="456"/>
      <c r="C330" s="433"/>
      <c r="D330" s="433"/>
      <c r="E330" s="460"/>
      <c r="F330" s="351"/>
      <c r="G330" s="456"/>
      <c r="H330" s="353"/>
      <c r="I330" s="433"/>
      <c r="J330" s="433"/>
    </row>
    <row r="331">
      <c r="A331" s="433"/>
      <c r="B331" s="456"/>
      <c r="C331" s="433"/>
      <c r="D331" s="433"/>
      <c r="E331" s="460"/>
      <c r="F331" s="351"/>
      <c r="G331" s="456"/>
      <c r="H331" s="353"/>
      <c r="I331" s="433"/>
      <c r="J331" s="433"/>
    </row>
    <row r="332">
      <c r="A332" s="433"/>
      <c r="B332" s="456"/>
      <c r="C332" s="433"/>
      <c r="D332" s="433"/>
      <c r="E332" s="460"/>
      <c r="F332" s="351"/>
      <c r="G332" s="456"/>
      <c r="H332" s="353"/>
      <c r="I332" s="433"/>
      <c r="J332" s="433"/>
    </row>
    <row r="333">
      <c r="A333" s="433"/>
      <c r="B333" s="456"/>
      <c r="C333" s="433"/>
      <c r="D333" s="433"/>
      <c r="E333" s="460"/>
      <c r="F333" s="351"/>
      <c r="G333" s="456"/>
      <c r="H333" s="353"/>
      <c r="I333" s="433"/>
      <c r="J333" s="433"/>
    </row>
    <row r="334">
      <c r="A334" s="433"/>
      <c r="B334" s="456"/>
      <c r="C334" s="433"/>
      <c r="D334" s="433"/>
      <c r="E334" s="460"/>
      <c r="F334" s="351"/>
      <c r="G334" s="456"/>
      <c r="H334" s="353"/>
      <c r="I334" s="433"/>
      <c r="J334" s="433"/>
    </row>
    <row r="335">
      <c r="A335" s="433"/>
      <c r="B335" s="456"/>
      <c r="C335" s="433"/>
      <c r="D335" s="433"/>
      <c r="E335" s="460"/>
      <c r="F335" s="351"/>
      <c r="G335" s="456"/>
      <c r="H335" s="353"/>
      <c r="I335" s="433"/>
      <c r="J335" s="433"/>
    </row>
    <row r="336">
      <c r="A336" s="433"/>
      <c r="B336" s="456"/>
      <c r="C336" s="433"/>
      <c r="D336" s="433"/>
      <c r="E336" s="460"/>
      <c r="F336" s="351"/>
      <c r="G336" s="456"/>
      <c r="H336" s="353"/>
      <c r="I336" s="433"/>
      <c r="J336" s="433"/>
    </row>
    <row r="337">
      <c r="A337" s="433"/>
      <c r="B337" s="456"/>
      <c r="C337" s="433"/>
      <c r="D337" s="433"/>
      <c r="E337" s="460"/>
      <c r="F337" s="351"/>
      <c r="G337" s="456"/>
      <c r="H337" s="353"/>
      <c r="I337" s="433"/>
      <c r="J337" s="433"/>
    </row>
    <row r="338">
      <c r="A338" s="433"/>
      <c r="B338" s="456"/>
      <c r="C338" s="433"/>
      <c r="D338" s="433"/>
      <c r="E338" s="460"/>
      <c r="F338" s="351"/>
      <c r="G338" s="456"/>
      <c r="H338" s="353"/>
      <c r="I338" s="433"/>
      <c r="J338" s="433"/>
    </row>
    <row r="339">
      <c r="A339" s="433"/>
      <c r="B339" s="456"/>
      <c r="C339" s="433"/>
      <c r="D339" s="433"/>
      <c r="E339" s="460"/>
      <c r="F339" s="351"/>
      <c r="G339" s="456"/>
      <c r="H339" s="353"/>
      <c r="I339" s="433"/>
      <c r="J339" s="433"/>
    </row>
    <row r="340">
      <c r="A340" s="433"/>
      <c r="B340" s="456"/>
      <c r="C340" s="433"/>
      <c r="D340" s="433"/>
      <c r="E340" s="460"/>
      <c r="F340" s="351"/>
      <c r="G340" s="456"/>
      <c r="H340" s="353"/>
      <c r="I340" s="433"/>
      <c r="J340" s="433"/>
    </row>
    <row r="341">
      <c r="A341" s="433"/>
      <c r="B341" s="456"/>
      <c r="C341" s="433"/>
      <c r="D341" s="433"/>
      <c r="E341" s="460"/>
      <c r="F341" s="351"/>
      <c r="G341" s="456"/>
      <c r="H341" s="353"/>
      <c r="I341" s="433"/>
      <c r="J341" s="433"/>
    </row>
    <row r="342">
      <c r="A342" s="433"/>
      <c r="B342" s="456"/>
      <c r="C342" s="433"/>
      <c r="D342" s="433"/>
      <c r="E342" s="460"/>
      <c r="F342" s="351"/>
      <c r="G342" s="456"/>
      <c r="H342" s="353"/>
      <c r="I342" s="433"/>
      <c r="J342" s="433"/>
    </row>
    <row r="343">
      <c r="A343" s="433"/>
      <c r="B343" s="456"/>
      <c r="C343" s="433"/>
      <c r="D343" s="433"/>
      <c r="E343" s="460"/>
      <c r="F343" s="351"/>
      <c r="G343" s="456"/>
      <c r="H343" s="353"/>
      <c r="I343" s="433"/>
      <c r="J343" s="433"/>
    </row>
    <row r="344">
      <c r="A344" s="433"/>
      <c r="B344" s="456"/>
      <c r="C344" s="433"/>
      <c r="D344" s="433"/>
      <c r="E344" s="460"/>
      <c r="F344" s="351"/>
      <c r="G344" s="456"/>
      <c r="H344" s="353"/>
      <c r="I344" s="433"/>
      <c r="J344" s="433"/>
    </row>
    <row r="345">
      <c r="A345" s="433"/>
      <c r="B345" s="456"/>
      <c r="C345" s="433"/>
      <c r="D345" s="433"/>
      <c r="E345" s="460"/>
      <c r="F345" s="351"/>
      <c r="G345" s="456"/>
      <c r="H345" s="353"/>
      <c r="I345" s="433"/>
      <c r="J345" s="433"/>
    </row>
    <row r="346">
      <c r="A346" s="433"/>
      <c r="B346" s="456"/>
      <c r="C346" s="433"/>
      <c r="D346" s="433"/>
      <c r="E346" s="460"/>
      <c r="F346" s="351"/>
      <c r="G346" s="456"/>
      <c r="H346" s="353"/>
      <c r="I346" s="433"/>
      <c r="J346" s="433"/>
    </row>
    <row r="347">
      <c r="A347" s="433"/>
      <c r="B347" s="456"/>
      <c r="C347" s="433"/>
      <c r="D347" s="433"/>
      <c r="E347" s="460"/>
      <c r="F347" s="351"/>
      <c r="G347" s="456"/>
      <c r="H347" s="353"/>
      <c r="I347" s="433"/>
      <c r="J347" s="433"/>
    </row>
    <row r="348">
      <c r="A348" s="433"/>
      <c r="B348" s="456"/>
      <c r="C348" s="433"/>
      <c r="D348" s="433"/>
      <c r="E348" s="460"/>
      <c r="F348" s="351"/>
      <c r="G348" s="456"/>
      <c r="H348" s="353"/>
      <c r="I348" s="433"/>
      <c r="J348" s="433"/>
    </row>
    <row r="349">
      <c r="A349" s="433"/>
      <c r="B349" s="456"/>
      <c r="C349" s="433"/>
      <c r="D349" s="433"/>
      <c r="E349" s="460"/>
      <c r="F349" s="351"/>
      <c r="G349" s="456"/>
      <c r="H349" s="353"/>
      <c r="I349" s="433"/>
      <c r="J349" s="433"/>
    </row>
    <row r="350">
      <c r="A350" s="433"/>
      <c r="B350" s="456"/>
      <c r="C350" s="433"/>
      <c r="D350" s="433"/>
      <c r="E350" s="460"/>
      <c r="F350" s="351"/>
      <c r="G350" s="456"/>
      <c r="H350" s="353"/>
      <c r="I350" s="433"/>
      <c r="J350" s="433"/>
    </row>
    <row r="351">
      <c r="A351" s="433"/>
      <c r="B351" s="456"/>
      <c r="C351" s="433"/>
      <c r="D351" s="433"/>
      <c r="E351" s="460"/>
      <c r="F351" s="351"/>
      <c r="G351" s="456"/>
      <c r="H351" s="353"/>
      <c r="I351" s="433"/>
      <c r="J351" s="433"/>
    </row>
    <row r="352">
      <c r="A352" s="433"/>
      <c r="B352" s="456"/>
      <c r="C352" s="433"/>
      <c r="D352" s="433"/>
      <c r="E352" s="460"/>
      <c r="F352" s="351"/>
      <c r="G352" s="456"/>
      <c r="H352" s="353"/>
      <c r="I352" s="433"/>
      <c r="J352" s="433"/>
    </row>
    <row r="353">
      <c r="A353" s="433"/>
      <c r="B353" s="456"/>
      <c r="C353" s="433"/>
      <c r="D353" s="433"/>
      <c r="E353" s="460"/>
      <c r="F353" s="351"/>
      <c r="G353" s="456"/>
      <c r="H353" s="353"/>
      <c r="I353" s="433"/>
      <c r="J353" s="433"/>
    </row>
    <row r="354">
      <c r="A354" s="433"/>
      <c r="B354" s="456"/>
      <c r="C354" s="433"/>
      <c r="D354" s="433"/>
      <c r="E354" s="460"/>
      <c r="F354" s="351"/>
      <c r="G354" s="456"/>
      <c r="H354" s="353"/>
      <c r="I354" s="433"/>
      <c r="J354" s="433"/>
    </row>
    <row r="355">
      <c r="A355" s="433"/>
      <c r="B355" s="456"/>
      <c r="C355" s="433"/>
      <c r="D355" s="433"/>
      <c r="E355" s="460"/>
      <c r="F355" s="351"/>
      <c r="G355" s="456"/>
      <c r="H355" s="353"/>
      <c r="I355" s="433"/>
      <c r="J355" s="433"/>
    </row>
    <row r="356">
      <c r="A356" s="433"/>
      <c r="B356" s="456"/>
      <c r="C356" s="433"/>
      <c r="D356" s="433"/>
      <c r="E356" s="460"/>
      <c r="F356" s="351"/>
      <c r="G356" s="456"/>
      <c r="H356" s="353"/>
      <c r="I356" s="433"/>
      <c r="J356" s="433"/>
    </row>
    <row r="357">
      <c r="A357" s="433"/>
      <c r="B357" s="456"/>
      <c r="C357" s="433"/>
      <c r="D357" s="433"/>
      <c r="E357" s="460"/>
      <c r="F357" s="351"/>
      <c r="G357" s="456"/>
      <c r="H357" s="353"/>
      <c r="I357" s="433"/>
      <c r="J357" s="433"/>
    </row>
    <row r="358">
      <c r="A358" s="433"/>
      <c r="B358" s="456"/>
      <c r="C358" s="433"/>
      <c r="D358" s="433"/>
      <c r="E358" s="460"/>
      <c r="F358" s="351"/>
      <c r="G358" s="456"/>
      <c r="H358" s="353"/>
      <c r="I358" s="433"/>
      <c r="J358" s="433"/>
    </row>
    <row r="359">
      <c r="A359" s="433"/>
      <c r="B359" s="456"/>
      <c r="C359" s="433"/>
      <c r="D359" s="433"/>
      <c r="E359" s="460"/>
      <c r="F359" s="351"/>
      <c r="G359" s="456"/>
      <c r="H359" s="353"/>
      <c r="I359" s="433"/>
      <c r="J359" s="433"/>
    </row>
    <row r="360">
      <c r="A360" s="433"/>
      <c r="B360" s="456"/>
      <c r="C360" s="433"/>
      <c r="D360" s="433"/>
      <c r="E360" s="460"/>
      <c r="F360" s="351"/>
      <c r="G360" s="456"/>
      <c r="H360" s="353"/>
      <c r="I360" s="433"/>
      <c r="J360" s="433"/>
    </row>
    <row r="361">
      <c r="A361" s="433"/>
      <c r="B361" s="456"/>
      <c r="C361" s="433"/>
      <c r="D361" s="433"/>
      <c r="E361" s="460"/>
      <c r="F361" s="351"/>
      <c r="G361" s="456"/>
      <c r="H361" s="353"/>
      <c r="I361" s="433"/>
      <c r="J361" s="433"/>
    </row>
    <row r="362">
      <c r="A362" s="433"/>
      <c r="B362" s="456"/>
      <c r="C362" s="433"/>
      <c r="D362" s="433"/>
      <c r="E362" s="460"/>
      <c r="F362" s="351"/>
      <c r="G362" s="456"/>
      <c r="H362" s="353"/>
      <c r="I362" s="433"/>
      <c r="J362" s="433"/>
    </row>
    <row r="363">
      <c r="A363" s="433"/>
      <c r="B363" s="456"/>
      <c r="C363" s="433"/>
      <c r="D363" s="433"/>
      <c r="E363" s="460"/>
      <c r="F363" s="351"/>
      <c r="G363" s="456"/>
      <c r="H363" s="353"/>
      <c r="I363" s="433"/>
      <c r="J363" s="433"/>
    </row>
    <row r="364">
      <c r="A364" s="433"/>
      <c r="B364" s="456"/>
      <c r="C364" s="433"/>
      <c r="D364" s="433"/>
      <c r="E364" s="460"/>
      <c r="F364" s="351"/>
      <c r="G364" s="456"/>
      <c r="H364" s="353"/>
      <c r="I364" s="433"/>
      <c r="J364" s="433"/>
    </row>
    <row r="365">
      <c r="A365" s="433"/>
      <c r="B365" s="456"/>
      <c r="C365" s="433"/>
      <c r="D365" s="433"/>
      <c r="E365" s="460"/>
      <c r="F365" s="351"/>
      <c r="G365" s="456"/>
      <c r="H365" s="353"/>
      <c r="I365" s="433"/>
      <c r="J365" s="433"/>
    </row>
    <row r="366">
      <c r="A366" s="433"/>
      <c r="B366" s="456"/>
      <c r="C366" s="433"/>
      <c r="D366" s="433"/>
      <c r="E366" s="460"/>
      <c r="F366" s="351"/>
      <c r="G366" s="456"/>
      <c r="H366" s="353"/>
      <c r="I366" s="433"/>
      <c r="J366" s="433"/>
    </row>
    <row r="367">
      <c r="A367" s="433"/>
      <c r="B367" s="456"/>
      <c r="C367" s="433"/>
      <c r="D367" s="433"/>
      <c r="E367" s="460"/>
      <c r="F367" s="351"/>
      <c r="G367" s="456"/>
      <c r="H367" s="353"/>
      <c r="I367" s="433"/>
      <c r="J367" s="433"/>
    </row>
    <row r="368">
      <c r="A368" s="433"/>
      <c r="B368" s="456"/>
      <c r="C368" s="433"/>
      <c r="D368" s="433"/>
      <c r="E368" s="460"/>
      <c r="F368" s="351"/>
      <c r="G368" s="456"/>
      <c r="H368" s="353"/>
      <c r="I368" s="433"/>
      <c r="J368" s="433"/>
    </row>
    <row r="369">
      <c r="A369" s="433"/>
      <c r="B369" s="456"/>
      <c r="C369" s="433"/>
      <c r="D369" s="433"/>
      <c r="E369" s="460"/>
      <c r="F369" s="351"/>
      <c r="G369" s="456"/>
      <c r="H369" s="353"/>
      <c r="I369" s="433"/>
      <c r="J369" s="433"/>
    </row>
    <row r="370">
      <c r="A370" s="433"/>
      <c r="B370" s="456"/>
      <c r="C370" s="433"/>
      <c r="D370" s="433"/>
      <c r="E370" s="460"/>
      <c r="F370" s="351"/>
      <c r="G370" s="456"/>
      <c r="H370" s="353"/>
      <c r="I370" s="433"/>
      <c r="J370" s="433"/>
    </row>
    <row r="371">
      <c r="A371" s="433"/>
      <c r="B371" s="456"/>
      <c r="C371" s="433"/>
      <c r="D371" s="433"/>
      <c r="E371" s="460"/>
      <c r="F371" s="351"/>
      <c r="G371" s="456"/>
      <c r="H371" s="353"/>
      <c r="I371" s="433"/>
      <c r="J371" s="433"/>
    </row>
    <row r="372">
      <c r="A372" s="433"/>
      <c r="B372" s="456"/>
      <c r="C372" s="433"/>
      <c r="D372" s="433"/>
      <c r="E372" s="460"/>
      <c r="F372" s="351"/>
      <c r="G372" s="456"/>
      <c r="H372" s="353"/>
      <c r="I372" s="433"/>
      <c r="J372" s="433"/>
    </row>
    <row r="373">
      <c r="A373" s="433"/>
      <c r="B373" s="456"/>
      <c r="C373" s="433"/>
      <c r="D373" s="433"/>
      <c r="E373" s="460"/>
      <c r="F373" s="351"/>
      <c r="G373" s="456"/>
      <c r="H373" s="353"/>
      <c r="I373" s="433"/>
      <c r="J373" s="433"/>
    </row>
    <row r="374">
      <c r="A374" s="433"/>
      <c r="B374" s="456"/>
      <c r="C374" s="433"/>
      <c r="D374" s="433"/>
      <c r="E374" s="460"/>
      <c r="F374" s="351"/>
      <c r="G374" s="456"/>
      <c r="H374" s="353"/>
      <c r="I374" s="433"/>
      <c r="J374" s="433"/>
    </row>
    <row r="375">
      <c r="A375" s="433"/>
      <c r="B375" s="456"/>
      <c r="C375" s="433"/>
      <c r="D375" s="433"/>
      <c r="E375" s="460"/>
      <c r="F375" s="351"/>
      <c r="G375" s="456"/>
      <c r="H375" s="353"/>
      <c r="I375" s="433"/>
      <c r="J375" s="433"/>
    </row>
    <row r="376">
      <c r="A376" s="433"/>
      <c r="B376" s="456"/>
      <c r="C376" s="433"/>
      <c r="D376" s="433"/>
      <c r="E376" s="460"/>
      <c r="F376" s="351"/>
      <c r="G376" s="456"/>
      <c r="H376" s="353"/>
      <c r="I376" s="433"/>
      <c r="J376" s="433"/>
    </row>
    <row r="377">
      <c r="A377" s="433"/>
      <c r="B377" s="456"/>
      <c r="C377" s="433"/>
      <c r="D377" s="433"/>
      <c r="E377" s="460"/>
      <c r="F377" s="351"/>
      <c r="G377" s="456"/>
      <c r="H377" s="353"/>
      <c r="I377" s="433"/>
      <c r="J377" s="433"/>
    </row>
    <row r="378">
      <c r="A378" s="433"/>
      <c r="B378" s="456"/>
      <c r="C378" s="433"/>
      <c r="D378" s="433"/>
      <c r="E378" s="460"/>
      <c r="F378" s="351"/>
      <c r="G378" s="456"/>
      <c r="H378" s="353"/>
      <c r="I378" s="433"/>
      <c r="J378" s="433"/>
    </row>
    <row r="379">
      <c r="A379" s="433"/>
      <c r="B379" s="456"/>
      <c r="C379" s="433"/>
      <c r="D379" s="433"/>
      <c r="E379" s="460"/>
      <c r="F379" s="351"/>
      <c r="G379" s="456"/>
      <c r="H379" s="353"/>
      <c r="I379" s="433"/>
      <c r="J379" s="433"/>
    </row>
    <row r="380">
      <c r="A380" s="433"/>
      <c r="B380" s="456"/>
      <c r="C380" s="433"/>
      <c r="D380" s="433"/>
      <c r="E380" s="460"/>
      <c r="F380" s="351"/>
      <c r="G380" s="456"/>
      <c r="H380" s="353"/>
      <c r="I380" s="433"/>
      <c r="J380" s="433"/>
    </row>
    <row r="381">
      <c r="A381" s="433"/>
      <c r="B381" s="456"/>
      <c r="C381" s="433"/>
      <c r="D381" s="433"/>
      <c r="E381" s="460"/>
      <c r="F381" s="351"/>
      <c r="G381" s="456"/>
      <c r="H381" s="353"/>
      <c r="I381" s="433"/>
      <c r="J381" s="433"/>
    </row>
    <row r="382">
      <c r="A382" s="433"/>
      <c r="B382" s="456"/>
      <c r="C382" s="433"/>
      <c r="D382" s="433"/>
      <c r="E382" s="460"/>
      <c r="F382" s="351"/>
      <c r="G382" s="456"/>
      <c r="H382" s="353"/>
      <c r="I382" s="433"/>
      <c r="J382" s="433"/>
    </row>
    <row r="383">
      <c r="A383" s="433"/>
      <c r="B383" s="456"/>
      <c r="C383" s="433"/>
      <c r="D383" s="433"/>
      <c r="E383" s="460"/>
      <c r="F383" s="351"/>
      <c r="G383" s="456"/>
      <c r="H383" s="353"/>
      <c r="I383" s="433"/>
      <c r="J383" s="433"/>
    </row>
    <row r="384">
      <c r="A384" s="433"/>
      <c r="B384" s="456"/>
      <c r="C384" s="433"/>
      <c r="D384" s="433"/>
      <c r="E384" s="460"/>
      <c r="F384" s="351"/>
      <c r="G384" s="456"/>
      <c r="H384" s="353"/>
      <c r="I384" s="433"/>
      <c r="J384" s="433"/>
    </row>
    <row r="385">
      <c r="A385" s="433"/>
      <c r="B385" s="456"/>
      <c r="C385" s="433"/>
      <c r="D385" s="433"/>
      <c r="E385" s="460"/>
      <c r="F385" s="351"/>
      <c r="G385" s="456"/>
      <c r="H385" s="353"/>
      <c r="I385" s="433"/>
      <c r="J385" s="433"/>
    </row>
    <row r="386">
      <c r="A386" s="433"/>
      <c r="B386" s="456"/>
      <c r="C386" s="433"/>
      <c r="D386" s="433"/>
      <c r="E386" s="460"/>
      <c r="F386" s="351"/>
      <c r="G386" s="456"/>
      <c r="H386" s="353"/>
      <c r="I386" s="433"/>
      <c r="J386" s="433"/>
    </row>
    <row r="387">
      <c r="A387" s="433"/>
      <c r="B387" s="456"/>
      <c r="C387" s="433"/>
      <c r="D387" s="433"/>
      <c r="E387" s="460"/>
      <c r="F387" s="351"/>
      <c r="G387" s="456"/>
      <c r="H387" s="353"/>
      <c r="I387" s="433"/>
      <c r="J387" s="433"/>
    </row>
    <row r="388">
      <c r="A388" s="433"/>
      <c r="B388" s="456"/>
      <c r="C388" s="433"/>
      <c r="D388" s="433"/>
      <c r="E388" s="460"/>
      <c r="F388" s="351"/>
      <c r="G388" s="456"/>
      <c r="H388" s="353"/>
      <c r="I388" s="433"/>
      <c r="J388" s="433"/>
    </row>
    <row r="389">
      <c r="A389" s="433"/>
      <c r="B389" s="456"/>
      <c r="C389" s="433"/>
      <c r="D389" s="433"/>
      <c r="E389" s="460"/>
      <c r="F389" s="351"/>
      <c r="G389" s="456"/>
      <c r="H389" s="353"/>
      <c r="I389" s="433"/>
      <c r="J389" s="433"/>
    </row>
    <row r="390">
      <c r="A390" s="433"/>
      <c r="B390" s="456"/>
      <c r="C390" s="433"/>
      <c r="D390" s="433"/>
      <c r="E390" s="460"/>
      <c r="F390" s="351"/>
      <c r="G390" s="456"/>
      <c r="H390" s="353"/>
      <c r="I390" s="433"/>
      <c r="J390" s="433"/>
    </row>
    <row r="391">
      <c r="A391" s="433"/>
      <c r="B391" s="456"/>
      <c r="C391" s="433"/>
      <c r="D391" s="433"/>
      <c r="E391" s="460"/>
      <c r="F391" s="351"/>
      <c r="G391" s="456"/>
      <c r="H391" s="353"/>
      <c r="I391" s="433"/>
      <c r="J391" s="433"/>
    </row>
    <row r="392">
      <c r="A392" s="433"/>
      <c r="B392" s="456"/>
      <c r="C392" s="433"/>
      <c r="D392" s="433"/>
      <c r="E392" s="460"/>
      <c r="F392" s="351"/>
      <c r="G392" s="456"/>
      <c r="H392" s="353"/>
      <c r="I392" s="433"/>
      <c r="J392" s="433"/>
    </row>
    <row r="393">
      <c r="A393" s="433"/>
      <c r="B393" s="456"/>
      <c r="C393" s="433"/>
      <c r="D393" s="433"/>
      <c r="E393" s="460"/>
      <c r="F393" s="351"/>
      <c r="G393" s="456"/>
      <c r="H393" s="353"/>
      <c r="I393" s="433"/>
      <c r="J393" s="433"/>
    </row>
    <row r="394">
      <c r="A394" s="433"/>
      <c r="B394" s="456"/>
      <c r="C394" s="433"/>
      <c r="D394" s="433"/>
      <c r="E394" s="460"/>
      <c r="F394" s="351"/>
      <c r="G394" s="456"/>
      <c r="H394" s="353"/>
      <c r="I394" s="433"/>
      <c r="J394" s="433"/>
    </row>
    <row r="395">
      <c r="A395" s="433"/>
      <c r="B395" s="456"/>
      <c r="C395" s="433"/>
      <c r="D395" s="433"/>
      <c r="E395" s="460"/>
      <c r="F395" s="351"/>
      <c r="G395" s="456"/>
      <c r="H395" s="353"/>
      <c r="I395" s="433"/>
      <c r="J395" s="433"/>
    </row>
    <row r="396">
      <c r="A396" s="433"/>
      <c r="B396" s="456"/>
      <c r="C396" s="433"/>
      <c r="D396" s="433"/>
      <c r="E396" s="460"/>
      <c r="F396" s="351"/>
      <c r="G396" s="456"/>
      <c r="H396" s="353"/>
      <c r="I396" s="433"/>
      <c r="J396" s="433"/>
    </row>
    <row r="397">
      <c r="A397" s="433"/>
      <c r="B397" s="456"/>
      <c r="C397" s="433"/>
      <c r="D397" s="433"/>
      <c r="E397" s="460"/>
      <c r="F397" s="351"/>
      <c r="G397" s="456"/>
      <c r="H397" s="353"/>
      <c r="I397" s="433"/>
      <c r="J397" s="433"/>
    </row>
    <row r="398">
      <c r="A398" s="433"/>
      <c r="B398" s="456"/>
      <c r="C398" s="433"/>
      <c r="D398" s="433"/>
      <c r="E398" s="460"/>
      <c r="F398" s="351"/>
      <c r="G398" s="456"/>
      <c r="H398" s="353"/>
      <c r="I398" s="433"/>
      <c r="J398" s="433"/>
    </row>
    <row r="399">
      <c r="A399" s="433"/>
      <c r="B399" s="456"/>
      <c r="C399" s="433"/>
      <c r="D399" s="433"/>
      <c r="E399" s="460"/>
      <c r="F399" s="351"/>
      <c r="G399" s="456"/>
      <c r="H399" s="353"/>
      <c r="I399" s="433"/>
      <c r="J399" s="433"/>
    </row>
    <row r="400">
      <c r="A400" s="433"/>
      <c r="B400" s="456"/>
      <c r="C400" s="433"/>
      <c r="D400" s="433"/>
      <c r="E400" s="460"/>
      <c r="F400" s="351"/>
      <c r="G400" s="456"/>
      <c r="H400" s="353"/>
      <c r="I400" s="433"/>
      <c r="J400" s="433"/>
    </row>
    <row r="401">
      <c r="A401" s="433"/>
      <c r="B401" s="456"/>
      <c r="C401" s="433"/>
      <c r="D401" s="433"/>
      <c r="E401" s="460"/>
      <c r="F401" s="351"/>
      <c r="G401" s="456"/>
      <c r="H401" s="353"/>
      <c r="I401" s="433"/>
      <c r="J401" s="433"/>
    </row>
    <row r="402">
      <c r="A402" s="433"/>
      <c r="B402" s="456"/>
      <c r="C402" s="433"/>
      <c r="D402" s="433"/>
      <c r="E402" s="460"/>
      <c r="F402" s="351"/>
      <c r="G402" s="456"/>
      <c r="H402" s="353"/>
      <c r="I402" s="433"/>
      <c r="J402" s="433"/>
    </row>
    <row r="403">
      <c r="A403" s="433"/>
      <c r="B403" s="456"/>
      <c r="C403" s="433"/>
      <c r="D403" s="433"/>
      <c r="E403" s="460"/>
      <c r="F403" s="351"/>
      <c r="G403" s="456"/>
      <c r="H403" s="353"/>
      <c r="I403" s="433"/>
      <c r="J403" s="433"/>
    </row>
    <row r="404">
      <c r="A404" s="433"/>
      <c r="B404" s="456"/>
      <c r="C404" s="433"/>
      <c r="D404" s="433"/>
      <c r="E404" s="460"/>
      <c r="F404" s="351"/>
      <c r="G404" s="456"/>
      <c r="H404" s="353"/>
      <c r="I404" s="433"/>
      <c r="J404" s="433"/>
    </row>
    <row r="405">
      <c r="A405" s="433"/>
      <c r="B405" s="456"/>
      <c r="C405" s="433"/>
      <c r="D405" s="433"/>
      <c r="E405" s="460"/>
      <c r="F405" s="351"/>
      <c r="G405" s="456"/>
      <c r="H405" s="353"/>
      <c r="I405" s="433"/>
      <c r="J405" s="433"/>
    </row>
    <row r="406">
      <c r="A406" s="433"/>
      <c r="B406" s="456"/>
      <c r="C406" s="433"/>
      <c r="D406" s="433"/>
      <c r="E406" s="460"/>
      <c r="F406" s="351"/>
      <c r="G406" s="456"/>
      <c r="H406" s="353"/>
      <c r="I406" s="433"/>
      <c r="J406" s="433"/>
    </row>
    <row r="407">
      <c r="A407" s="433"/>
      <c r="B407" s="456"/>
      <c r="C407" s="433"/>
      <c r="D407" s="433"/>
      <c r="E407" s="460"/>
      <c r="F407" s="351"/>
      <c r="G407" s="456"/>
      <c r="H407" s="353"/>
      <c r="I407" s="433"/>
      <c r="J407" s="433"/>
    </row>
    <row r="408">
      <c r="A408" s="433"/>
      <c r="B408" s="456"/>
      <c r="C408" s="433"/>
      <c r="D408" s="433"/>
      <c r="E408" s="460"/>
      <c r="F408" s="351"/>
      <c r="G408" s="456"/>
      <c r="H408" s="353"/>
      <c r="I408" s="433"/>
      <c r="J408" s="433"/>
    </row>
    <row r="409">
      <c r="A409" s="433"/>
      <c r="B409" s="456"/>
      <c r="C409" s="433"/>
      <c r="D409" s="433"/>
      <c r="E409" s="460"/>
      <c r="F409" s="351"/>
      <c r="G409" s="456"/>
      <c r="H409" s="353"/>
      <c r="I409" s="433"/>
      <c r="J409" s="433"/>
    </row>
    <row r="410">
      <c r="A410" s="433"/>
      <c r="B410" s="456"/>
      <c r="C410" s="433"/>
      <c r="D410" s="433"/>
      <c r="E410" s="460"/>
      <c r="F410" s="351"/>
      <c r="G410" s="456"/>
      <c r="H410" s="353"/>
      <c r="I410" s="433"/>
      <c r="J410" s="433"/>
    </row>
    <row r="411">
      <c r="A411" s="433"/>
      <c r="B411" s="456"/>
      <c r="C411" s="433"/>
      <c r="D411" s="433"/>
      <c r="E411" s="460"/>
      <c r="F411" s="351"/>
      <c r="G411" s="456"/>
      <c r="H411" s="353"/>
      <c r="I411" s="433"/>
      <c r="J411" s="433"/>
    </row>
    <row r="412">
      <c r="A412" s="433"/>
      <c r="B412" s="456"/>
      <c r="C412" s="433"/>
      <c r="D412" s="433"/>
      <c r="E412" s="460"/>
      <c r="F412" s="351"/>
      <c r="G412" s="456"/>
      <c r="H412" s="353"/>
      <c r="I412" s="433"/>
      <c r="J412" s="433"/>
    </row>
    <row r="413">
      <c r="A413" s="433"/>
      <c r="B413" s="456"/>
      <c r="C413" s="433"/>
      <c r="D413" s="433"/>
      <c r="E413" s="460"/>
      <c r="F413" s="351"/>
      <c r="G413" s="456"/>
      <c r="H413" s="353"/>
      <c r="I413" s="433"/>
      <c r="J413" s="433"/>
    </row>
    <row r="414">
      <c r="A414" s="433"/>
      <c r="B414" s="456"/>
      <c r="C414" s="433"/>
      <c r="D414" s="433"/>
      <c r="E414" s="460"/>
      <c r="F414" s="351"/>
      <c r="G414" s="456"/>
      <c r="H414" s="353"/>
      <c r="I414" s="433"/>
      <c r="J414" s="433"/>
    </row>
    <row r="415">
      <c r="A415" s="433"/>
      <c r="B415" s="456"/>
      <c r="C415" s="433"/>
      <c r="D415" s="433"/>
      <c r="E415" s="460"/>
      <c r="F415" s="351"/>
      <c r="G415" s="456"/>
      <c r="H415" s="353"/>
      <c r="I415" s="433"/>
      <c r="J415" s="433"/>
    </row>
    <row r="416">
      <c r="A416" s="433"/>
      <c r="B416" s="456"/>
      <c r="C416" s="433"/>
      <c r="D416" s="433"/>
      <c r="E416" s="460"/>
      <c r="F416" s="351"/>
      <c r="G416" s="456"/>
      <c r="H416" s="353"/>
      <c r="I416" s="433"/>
      <c r="J416" s="433"/>
    </row>
    <row r="417">
      <c r="A417" s="433"/>
      <c r="B417" s="456"/>
      <c r="C417" s="433"/>
      <c r="D417" s="433"/>
      <c r="E417" s="460"/>
      <c r="F417" s="351"/>
      <c r="G417" s="456"/>
      <c r="H417" s="353"/>
      <c r="I417" s="433"/>
      <c r="J417" s="433"/>
    </row>
    <row r="418">
      <c r="A418" s="433"/>
      <c r="B418" s="456"/>
      <c r="C418" s="433"/>
      <c r="D418" s="433"/>
      <c r="E418" s="460"/>
      <c r="F418" s="351"/>
      <c r="G418" s="456"/>
      <c r="H418" s="353"/>
      <c r="I418" s="433"/>
      <c r="J418" s="433"/>
    </row>
    <row r="419">
      <c r="A419" s="433"/>
      <c r="B419" s="456"/>
      <c r="C419" s="433"/>
      <c r="D419" s="433"/>
      <c r="E419" s="460"/>
      <c r="F419" s="351"/>
      <c r="G419" s="456"/>
      <c r="H419" s="353"/>
      <c r="I419" s="433"/>
      <c r="J419" s="433"/>
    </row>
    <row r="420">
      <c r="A420" s="433"/>
      <c r="B420" s="456"/>
      <c r="C420" s="433"/>
      <c r="D420" s="433"/>
      <c r="E420" s="460"/>
      <c r="F420" s="351"/>
      <c r="G420" s="456"/>
      <c r="H420" s="353"/>
      <c r="I420" s="433"/>
      <c r="J420" s="433"/>
    </row>
    <row r="421">
      <c r="A421" s="433"/>
      <c r="B421" s="456"/>
      <c r="C421" s="433"/>
      <c r="D421" s="433"/>
      <c r="E421" s="460"/>
      <c r="F421" s="351"/>
      <c r="G421" s="456"/>
      <c r="H421" s="353"/>
      <c r="I421" s="433"/>
      <c r="J421" s="433"/>
    </row>
    <row r="422">
      <c r="A422" s="433"/>
      <c r="B422" s="456"/>
      <c r="C422" s="433"/>
      <c r="D422" s="433"/>
      <c r="E422" s="460"/>
      <c r="F422" s="351"/>
      <c r="G422" s="456"/>
      <c r="H422" s="353"/>
      <c r="I422" s="433"/>
      <c r="J422" s="433"/>
    </row>
    <row r="423">
      <c r="A423" s="433"/>
      <c r="B423" s="456"/>
      <c r="C423" s="433"/>
      <c r="D423" s="433"/>
      <c r="E423" s="460"/>
      <c r="F423" s="351"/>
      <c r="G423" s="456"/>
      <c r="H423" s="353"/>
      <c r="I423" s="433"/>
      <c r="J423" s="433"/>
    </row>
    <row r="424">
      <c r="A424" s="433"/>
      <c r="B424" s="456"/>
      <c r="C424" s="433"/>
      <c r="D424" s="433"/>
      <c r="E424" s="460"/>
      <c r="F424" s="351"/>
      <c r="G424" s="456"/>
      <c r="H424" s="353"/>
      <c r="I424" s="433"/>
      <c r="J424" s="433"/>
    </row>
    <row r="425">
      <c r="A425" s="433"/>
      <c r="B425" s="456"/>
      <c r="C425" s="433"/>
      <c r="D425" s="433"/>
      <c r="E425" s="460"/>
      <c r="F425" s="351"/>
      <c r="G425" s="456"/>
      <c r="H425" s="353"/>
      <c r="I425" s="433"/>
      <c r="J425" s="433"/>
    </row>
    <row r="426">
      <c r="A426" s="433"/>
      <c r="B426" s="456"/>
      <c r="C426" s="433"/>
      <c r="D426" s="433"/>
      <c r="E426" s="460"/>
      <c r="F426" s="351"/>
      <c r="G426" s="456"/>
      <c r="H426" s="353"/>
      <c r="I426" s="433"/>
      <c r="J426" s="433"/>
    </row>
    <row r="427">
      <c r="A427" s="433"/>
      <c r="B427" s="456"/>
      <c r="C427" s="433"/>
      <c r="D427" s="433"/>
      <c r="E427" s="460"/>
      <c r="F427" s="351"/>
      <c r="G427" s="456"/>
      <c r="H427" s="353"/>
      <c r="I427" s="433"/>
      <c r="J427" s="433"/>
    </row>
    <row r="428">
      <c r="A428" s="433"/>
      <c r="B428" s="456"/>
      <c r="C428" s="433"/>
      <c r="D428" s="433"/>
      <c r="E428" s="460"/>
      <c r="F428" s="351"/>
      <c r="G428" s="456"/>
      <c r="H428" s="353"/>
      <c r="I428" s="433"/>
      <c r="J428" s="433"/>
    </row>
    <row r="429">
      <c r="A429" s="433"/>
      <c r="B429" s="456"/>
      <c r="C429" s="433"/>
      <c r="D429" s="433"/>
      <c r="E429" s="460"/>
      <c r="F429" s="351"/>
      <c r="G429" s="456"/>
      <c r="H429" s="353"/>
      <c r="I429" s="433"/>
      <c r="J429" s="433"/>
    </row>
    <row r="430">
      <c r="A430" s="433"/>
      <c r="B430" s="456"/>
      <c r="C430" s="433"/>
      <c r="D430" s="433"/>
      <c r="E430" s="460"/>
      <c r="F430" s="351"/>
      <c r="G430" s="456"/>
      <c r="H430" s="353"/>
      <c r="I430" s="433"/>
      <c r="J430" s="433"/>
    </row>
    <row r="431">
      <c r="A431" s="433"/>
      <c r="B431" s="456"/>
      <c r="C431" s="433"/>
      <c r="D431" s="433"/>
      <c r="E431" s="460"/>
      <c r="F431" s="351"/>
      <c r="G431" s="456"/>
      <c r="H431" s="353"/>
      <c r="I431" s="433"/>
      <c r="J431" s="433"/>
    </row>
    <row r="432">
      <c r="A432" s="433"/>
      <c r="B432" s="456"/>
      <c r="C432" s="433"/>
      <c r="D432" s="433"/>
      <c r="E432" s="460"/>
      <c r="F432" s="351"/>
      <c r="G432" s="456"/>
      <c r="H432" s="353"/>
      <c r="I432" s="433"/>
      <c r="J432" s="433"/>
    </row>
    <row r="433">
      <c r="A433" s="433"/>
      <c r="B433" s="456"/>
      <c r="C433" s="433"/>
      <c r="D433" s="433"/>
      <c r="E433" s="460"/>
      <c r="F433" s="351"/>
      <c r="G433" s="456"/>
      <c r="H433" s="353"/>
      <c r="I433" s="433"/>
      <c r="J433" s="433"/>
    </row>
    <row r="434">
      <c r="A434" s="433"/>
      <c r="B434" s="456"/>
      <c r="C434" s="433"/>
      <c r="D434" s="433"/>
      <c r="E434" s="460"/>
      <c r="F434" s="351"/>
      <c r="G434" s="456"/>
      <c r="H434" s="353"/>
      <c r="I434" s="433"/>
      <c r="J434" s="433"/>
    </row>
    <row r="435">
      <c r="A435" s="433"/>
      <c r="B435" s="456"/>
      <c r="C435" s="433"/>
      <c r="D435" s="433"/>
      <c r="E435" s="460"/>
      <c r="F435" s="351"/>
      <c r="G435" s="456"/>
      <c r="H435" s="353"/>
      <c r="I435" s="433"/>
      <c r="J435" s="433"/>
    </row>
    <row r="436">
      <c r="A436" s="433"/>
      <c r="B436" s="456"/>
      <c r="C436" s="433"/>
      <c r="D436" s="433"/>
      <c r="E436" s="460"/>
      <c r="F436" s="351"/>
      <c r="G436" s="456"/>
      <c r="H436" s="353"/>
      <c r="I436" s="433"/>
      <c r="J436" s="433"/>
    </row>
    <row r="437">
      <c r="A437" s="433"/>
      <c r="B437" s="456"/>
      <c r="C437" s="433"/>
      <c r="D437" s="433"/>
      <c r="E437" s="460"/>
      <c r="F437" s="351"/>
      <c r="G437" s="456"/>
      <c r="H437" s="353"/>
      <c r="I437" s="433"/>
      <c r="J437" s="433"/>
    </row>
    <row r="438">
      <c r="A438" s="433"/>
      <c r="B438" s="456"/>
      <c r="C438" s="433"/>
      <c r="D438" s="433"/>
      <c r="E438" s="460"/>
      <c r="F438" s="351"/>
      <c r="G438" s="456"/>
      <c r="H438" s="353"/>
      <c r="I438" s="433"/>
      <c r="J438" s="433"/>
    </row>
    <row r="439">
      <c r="A439" s="433"/>
      <c r="B439" s="456"/>
      <c r="C439" s="433"/>
      <c r="D439" s="433"/>
      <c r="E439" s="460"/>
      <c r="F439" s="351"/>
      <c r="G439" s="456"/>
      <c r="H439" s="353"/>
      <c r="I439" s="433"/>
      <c r="J439" s="433"/>
    </row>
    <row r="440">
      <c r="A440" s="433"/>
      <c r="B440" s="456"/>
      <c r="C440" s="433"/>
      <c r="D440" s="433"/>
      <c r="E440" s="460"/>
      <c r="F440" s="351"/>
      <c r="G440" s="456"/>
      <c r="H440" s="353"/>
      <c r="I440" s="433"/>
      <c r="J440" s="433"/>
    </row>
    <row r="441">
      <c r="A441" s="433"/>
      <c r="B441" s="456"/>
      <c r="C441" s="433"/>
      <c r="D441" s="433"/>
      <c r="E441" s="460"/>
      <c r="F441" s="351"/>
      <c r="G441" s="456"/>
      <c r="H441" s="353"/>
      <c r="I441" s="433"/>
      <c r="J441" s="433"/>
    </row>
    <row r="442">
      <c r="A442" s="433"/>
      <c r="B442" s="456"/>
      <c r="C442" s="433"/>
      <c r="D442" s="433"/>
      <c r="E442" s="460"/>
      <c r="F442" s="351"/>
      <c r="G442" s="456"/>
      <c r="H442" s="353"/>
      <c r="I442" s="433"/>
      <c r="J442" s="433"/>
    </row>
    <row r="443">
      <c r="A443" s="433"/>
      <c r="B443" s="456"/>
      <c r="C443" s="433"/>
      <c r="D443" s="433"/>
      <c r="E443" s="460"/>
      <c r="F443" s="351"/>
      <c r="G443" s="456"/>
      <c r="H443" s="353"/>
      <c r="I443" s="433"/>
      <c r="J443" s="433"/>
    </row>
    <row r="444">
      <c r="A444" s="433"/>
      <c r="B444" s="456"/>
      <c r="C444" s="433"/>
      <c r="D444" s="433"/>
      <c r="E444" s="460"/>
      <c r="F444" s="351"/>
      <c r="G444" s="456"/>
      <c r="H444" s="353"/>
      <c r="I444" s="433"/>
      <c r="J444" s="433"/>
    </row>
    <row r="445">
      <c r="A445" s="433"/>
      <c r="B445" s="456"/>
      <c r="C445" s="433"/>
      <c r="D445" s="433"/>
      <c r="E445" s="460"/>
      <c r="F445" s="351"/>
      <c r="G445" s="456"/>
      <c r="H445" s="353"/>
      <c r="I445" s="433"/>
      <c r="J445" s="433"/>
    </row>
    <row r="446">
      <c r="A446" s="433"/>
      <c r="B446" s="456"/>
      <c r="C446" s="433"/>
      <c r="D446" s="433"/>
      <c r="E446" s="460"/>
      <c r="F446" s="351"/>
      <c r="G446" s="456"/>
      <c r="H446" s="353"/>
      <c r="I446" s="433"/>
      <c r="J446" s="433"/>
    </row>
    <row r="447">
      <c r="A447" s="433"/>
      <c r="B447" s="456"/>
      <c r="C447" s="433"/>
      <c r="D447" s="433"/>
      <c r="E447" s="460"/>
      <c r="F447" s="351"/>
      <c r="G447" s="456"/>
      <c r="H447" s="353"/>
      <c r="I447" s="433"/>
      <c r="J447" s="433"/>
    </row>
    <row r="448">
      <c r="A448" s="433"/>
      <c r="B448" s="456"/>
      <c r="C448" s="433"/>
      <c r="D448" s="433"/>
      <c r="E448" s="460"/>
      <c r="F448" s="351"/>
      <c r="G448" s="456"/>
      <c r="H448" s="353"/>
      <c r="I448" s="433"/>
      <c r="J448" s="433"/>
    </row>
    <row r="449">
      <c r="A449" s="433"/>
      <c r="B449" s="456"/>
      <c r="C449" s="433"/>
      <c r="D449" s="433"/>
      <c r="E449" s="460"/>
      <c r="F449" s="351"/>
      <c r="G449" s="456"/>
      <c r="H449" s="353"/>
      <c r="I449" s="433"/>
      <c r="J449" s="433"/>
    </row>
    <row r="450">
      <c r="A450" s="433"/>
      <c r="B450" s="456"/>
      <c r="C450" s="433"/>
      <c r="D450" s="433"/>
      <c r="E450" s="460"/>
      <c r="F450" s="351"/>
      <c r="G450" s="456"/>
      <c r="H450" s="353"/>
      <c r="I450" s="433"/>
      <c r="J450" s="433"/>
    </row>
    <row r="451">
      <c r="A451" s="433"/>
      <c r="B451" s="456"/>
      <c r="C451" s="433"/>
      <c r="D451" s="433"/>
      <c r="E451" s="460"/>
      <c r="F451" s="351"/>
      <c r="G451" s="456"/>
      <c r="H451" s="353"/>
      <c r="I451" s="433"/>
      <c r="J451" s="433"/>
    </row>
    <row r="452">
      <c r="A452" s="433"/>
      <c r="B452" s="456"/>
      <c r="C452" s="433"/>
      <c r="D452" s="433"/>
      <c r="E452" s="460"/>
      <c r="F452" s="351"/>
      <c r="G452" s="456"/>
      <c r="H452" s="353"/>
      <c r="I452" s="433"/>
      <c r="J452" s="433"/>
    </row>
    <row r="453">
      <c r="A453" s="433"/>
      <c r="B453" s="456"/>
      <c r="C453" s="433"/>
      <c r="D453" s="433"/>
      <c r="E453" s="460"/>
      <c r="F453" s="351"/>
      <c r="G453" s="456"/>
      <c r="H453" s="353"/>
      <c r="I453" s="433"/>
      <c r="J453" s="433"/>
    </row>
    <row r="454">
      <c r="A454" s="433"/>
      <c r="B454" s="456"/>
      <c r="C454" s="433"/>
      <c r="D454" s="433"/>
      <c r="E454" s="460"/>
      <c r="F454" s="351"/>
      <c r="G454" s="456"/>
      <c r="H454" s="353"/>
      <c r="I454" s="433"/>
      <c r="J454" s="433"/>
    </row>
    <row r="455">
      <c r="A455" s="433"/>
      <c r="B455" s="456"/>
      <c r="C455" s="433"/>
      <c r="D455" s="433"/>
      <c r="E455" s="460"/>
      <c r="F455" s="351"/>
      <c r="G455" s="456"/>
      <c r="H455" s="353"/>
      <c r="I455" s="433"/>
      <c r="J455" s="433"/>
    </row>
    <row r="456">
      <c r="A456" s="433"/>
      <c r="B456" s="456"/>
      <c r="C456" s="433"/>
      <c r="D456" s="433"/>
      <c r="E456" s="460"/>
      <c r="F456" s="351"/>
      <c r="G456" s="456"/>
      <c r="H456" s="353"/>
      <c r="I456" s="433"/>
      <c r="J456" s="433"/>
    </row>
    <row r="457">
      <c r="A457" s="433"/>
      <c r="B457" s="456"/>
      <c r="C457" s="433"/>
      <c r="D457" s="433"/>
      <c r="E457" s="460"/>
      <c r="F457" s="351"/>
      <c r="G457" s="456"/>
      <c r="H457" s="353"/>
      <c r="I457" s="433"/>
      <c r="J457" s="433"/>
    </row>
    <row r="458">
      <c r="A458" s="433"/>
      <c r="B458" s="456"/>
      <c r="C458" s="433"/>
      <c r="D458" s="433"/>
      <c r="E458" s="460"/>
      <c r="F458" s="351"/>
      <c r="G458" s="456"/>
      <c r="H458" s="353"/>
      <c r="I458" s="433"/>
      <c r="J458" s="433"/>
    </row>
    <row r="459">
      <c r="A459" s="433"/>
      <c r="B459" s="456"/>
      <c r="C459" s="433"/>
      <c r="D459" s="433"/>
      <c r="E459" s="460"/>
      <c r="F459" s="351"/>
      <c r="G459" s="456"/>
      <c r="H459" s="353"/>
      <c r="I459" s="433"/>
      <c r="J459" s="433"/>
    </row>
    <row r="460">
      <c r="A460" s="433"/>
      <c r="B460" s="456"/>
      <c r="C460" s="433"/>
      <c r="D460" s="433"/>
      <c r="E460" s="460"/>
      <c r="F460" s="351"/>
      <c r="G460" s="456"/>
      <c r="H460" s="353"/>
      <c r="I460" s="433"/>
      <c r="J460" s="433"/>
    </row>
    <row r="461">
      <c r="A461" s="433"/>
      <c r="B461" s="456"/>
      <c r="C461" s="433"/>
      <c r="D461" s="433"/>
      <c r="E461" s="460"/>
      <c r="F461" s="351"/>
      <c r="G461" s="456"/>
      <c r="H461" s="353"/>
      <c r="I461" s="433"/>
      <c r="J461" s="433"/>
    </row>
    <row r="462">
      <c r="A462" s="433"/>
      <c r="B462" s="456"/>
      <c r="C462" s="433"/>
      <c r="D462" s="433"/>
      <c r="E462" s="460"/>
      <c r="F462" s="351"/>
      <c r="G462" s="456"/>
      <c r="H462" s="353"/>
      <c r="I462" s="433"/>
      <c r="J462" s="433"/>
    </row>
    <row r="463">
      <c r="A463" s="433"/>
      <c r="B463" s="456"/>
      <c r="C463" s="433"/>
      <c r="D463" s="433"/>
      <c r="E463" s="460"/>
      <c r="F463" s="351"/>
      <c r="G463" s="456"/>
      <c r="H463" s="353"/>
      <c r="I463" s="433"/>
      <c r="J463" s="433"/>
    </row>
    <row r="464">
      <c r="A464" s="433"/>
      <c r="B464" s="456"/>
      <c r="C464" s="433"/>
      <c r="D464" s="433"/>
      <c r="E464" s="460"/>
      <c r="F464" s="351"/>
      <c r="G464" s="456"/>
      <c r="H464" s="353"/>
      <c r="I464" s="433"/>
      <c r="J464" s="433"/>
    </row>
    <row r="465">
      <c r="A465" s="433"/>
      <c r="B465" s="456"/>
      <c r="C465" s="433"/>
      <c r="D465" s="433"/>
      <c r="E465" s="460"/>
      <c r="F465" s="351"/>
      <c r="G465" s="456"/>
      <c r="H465" s="353"/>
      <c r="I465" s="433"/>
      <c r="J465" s="433"/>
    </row>
    <row r="466">
      <c r="A466" s="433"/>
      <c r="B466" s="456"/>
      <c r="C466" s="433"/>
      <c r="D466" s="433"/>
      <c r="E466" s="460"/>
      <c r="F466" s="351"/>
      <c r="G466" s="456"/>
      <c r="H466" s="353"/>
      <c r="I466" s="433"/>
      <c r="J466" s="433"/>
    </row>
    <row r="467">
      <c r="A467" s="433"/>
      <c r="B467" s="456"/>
      <c r="C467" s="433"/>
      <c r="D467" s="433"/>
      <c r="E467" s="460"/>
      <c r="F467" s="351"/>
      <c r="G467" s="456"/>
      <c r="H467" s="353"/>
      <c r="I467" s="433"/>
      <c r="J467" s="433"/>
    </row>
    <row r="468">
      <c r="A468" s="433"/>
      <c r="B468" s="456"/>
      <c r="C468" s="433"/>
      <c r="D468" s="433"/>
      <c r="E468" s="460"/>
      <c r="F468" s="351"/>
      <c r="G468" s="456"/>
      <c r="H468" s="353"/>
      <c r="I468" s="433"/>
      <c r="J468" s="433"/>
    </row>
    <row r="469">
      <c r="A469" s="433"/>
      <c r="B469" s="456"/>
      <c r="C469" s="433"/>
      <c r="D469" s="433"/>
      <c r="E469" s="460"/>
      <c r="F469" s="351"/>
      <c r="G469" s="456"/>
      <c r="H469" s="353"/>
      <c r="I469" s="433"/>
      <c r="J469" s="433"/>
    </row>
    <row r="470">
      <c r="A470" s="433"/>
      <c r="B470" s="456"/>
      <c r="C470" s="433"/>
      <c r="D470" s="433"/>
      <c r="E470" s="460"/>
      <c r="F470" s="351"/>
      <c r="G470" s="456"/>
      <c r="H470" s="353"/>
      <c r="I470" s="433"/>
      <c r="J470" s="433"/>
    </row>
    <row r="471">
      <c r="A471" s="433"/>
      <c r="B471" s="456"/>
      <c r="C471" s="433"/>
      <c r="D471" s="433"/>
      <c r="E471" s="460"/>
      <c r="F471" s="351"/>
      <c r="G471" s="456"/>
      <c r="H471" s="353"/>
      <c r="I471" s="433"/>
      <c r="J471" s="433"/>
    </row>
    <row r="472">
      <c r="A472" s="433"/>
      <c r="B472" s="456"/>
      <c r="C472" s="433"/>
      <c r="D472" s="433"/>
      <c r="E472" s="460"/>
      <c r="F472" s="351"/>
      <c r="G472" s="456"/>
      <c r="H472" s="353"/>
      <c r="I472" s="433"/>
      <c r="J472" s="433"/>
    </row>
    <row r="473">
      <c r="A473" s="433"/>
      <c r="B473" s="456"/>
      <c r="C473" s="433"/>
      <c r="D473" s="433"/>
      <c r="E473" s="460"/>
      <c r="F473" s="351"/>
      <c r="G473" s="456"/>
      <c r="H473" s="353"/>
      <c r="I473" s="433"/>
      <c r="J473" s="433"/>
    </row>
    <row r="474">
      <c r="A474" s="433"/>
      <c r="B474" s="456"/>
      <c r="C474" s="433"/>
      <c r="D474" s="433"/>
      <c r="E474" s="460"/>
      <c r="F474" s="351"/>
      <c r="G474" s="456"/>
      <c r="H474" s="353"/>
      <c r="I474" s="433"/>
      <c r="J474" s="433"/>
    </row>
    <row r="475">
      <c r="A475" s="433"/>
      <c r="B475" s="456"/>
      <c r="C475" s="433"/>
      <c r="D475" s="433"/>
      <c r="E475" s="460"/>
      <c r="F475" s="351"/>
      <c r="G475" s="456"/>
      <c r="H475" s="353"/>
      <c r="I475" s="433"/>
      <c r="J475" s="433"/>
    </row>
    <row r="476">
      <c r="A476" s="433"/>
      <c r="B476" s="456"/>
      <c r="C476" s="433"/>
      <c r="D476" s="433"/>
      <c r="E476" s="460"/>
      <c r="F476" s="351"/>
      <c r="G476" s="456"/>
      <c r="H476" s="353"/>
      <c r="I476" s="433"/>
      <c r="J476" s="433"/>
    </row>
    <row r="477">
      <c r="A477" s="433"/>
      <c r="B477" s="456"/>
      <c r="C477" s="433"/>
      <c r="D477" s="433"/>
      <c r="E477" s="460"/>
      <c r="F477" s="351"/>
      <c r="G477" s="456"/>
      <c r="H477" s="353"/>
      <c r="I477" s="433"/>
      <c r="J477" s="433"/>
    </row>
    <row r="478">
      <c r="A478" s="433"/>
      <c r="B478" s="456"/>
      <c r="C478" s="433"/>
      <c r="D478" s="433"/>
      <c r="E478" s="460"/>
      <c r="F478" s="351"/>
      <c r="G478" s="456"/>
      <c r="H478" s="353"/>
      <c r="I478" s="433"/>
      <c r="J478" s="433"/>
    </row>
    <row r="479">
      <c r="A479" s="433"/>
      <c r="B479" s="456"/>
      <c r="C479" s="433"/>
      <c r="D479" s="433"/>
      <c r="E479" s="460"/>
      <c r="F479" s="351"/>
      <c r="G479" s="456"/>
      <c r="H479" s="353"/>
      <c r="I479" s="433"/>
      <c r="J479" s="433"/>
    </row>
    <row r="480">
      <c r="A480" s="433"/>
      <c r="B480" s="456"/>
      <c r="C480" s="433"/>
      <c r="D480" s="433"/>
      <c r="E480" s="460"/>
      <c r="F480" s="351"/>
      <c r="G480" s="456"/>
      <c r="H480" s="353"/>
      <c r="I480" s="433"/>
      <c r="J480" s="433"/>
    </row>
    <row r="481">
      <c r="A481" s="433"/>
      <c r="B481" s="456"/>
      <c r="C481" s="433"/>
      <c r="D481" s="433"/>
      <c r="E481" s="460"/>
      <c r="F481" s="351"/>
      <c r="G481" s="456"/>
      <c r="H481" s="353"/>
      <c r="I481" s="433"/>
      <c r="J481" s="433"/>
    </row>
    <row r="482">
      <c r="A482" s="433"/>
      <c r="B482" s="456"/>
      <c r="C482" s="433"/>
      <c r="D482" s="433"/>
      <c r="E482" s="460"/>
      <c r="F482" s="351"/>
      <c r="G482" s="456"/>
      <c r="H482" s="353"/>
      <c r="I482" s="433"/>
      <c r="J482" s="433"/>
    </row>
    <row r="483">
      <c r="A483" s="433"/>
      <c r="B483" s="456"/>
      <c r="C483" s="433"/>
      <c r="D483" s="433"/>
      <c r="E483" s="460"/>
      <c r="F483" s="351"/>
      <c r="G483" s="456"/>
      <c r="H483" s="353"/>
      <c r="I483" s="433"/>
      <c r="J483" s="433"/>
    </row>
    <row r="484">
      <c r="A484" s="433"/>
      <c r="B484" s="456"/>
      <c r="C484" s="433"/>
      <c r="D484" s="433"/>
      <c r="E484" s="460"/>
      <c r="F484" s="351"/>
      <c r="G484" s="456"/>
      <c r="H484" s="353"/>
      <c r="I484" s="433"/>
      <c r="J484" s="433"/>
    </row>
    <row r="485">
      <c r="A485" s="433"/>
      <c r="B485" s="456"/>
      <c r="C485" s="433"/>
      <c r="D485" s="433"/>
      <c r="E485" s="460"/>
      <c r="F485" s="351"/>
      <c r="G485" s="456"/>
      <c r="H485" s="353"/>
      <c r="I485" s="433"/>
      <c r="J485" s="433"/>
    </row>
    <row r="486">
      <c r="A486" s="433"/>
      <c r="B486" s="456"/>
      <c r="C486" s="433"/>
      <c r="D486" s="433"/>
      <c r="E486" s="460"/>
      <c r="F486" s="351"/>
      <c r="G486" s="456"/>
      <c r="H486" s="353"/>
      <c r="I486" s="433"/>
      <c r="J486" s="433"/>
    </row>
    <row r="487">
      <c r="A487" s="433"/>
      <c r="B487" s="456"/>
      <c r="C487" s="433"/>
      <c r="D487" s="433"/>
      <c r="E487" s="460"/>
      <c r="F487" s="351"/>
      <c r="G487" s="456"/>
      <c r="H487" s="353"/>
      <c r="I487" s="433"/>
      <c r="J487" s="433"/>
    </row>
    <row r="488">
      <c r="A488" s="433"/>
      <c r="B488" s="456"/>
      <c r="C488" s="433"/>
      <c r="D488" s="433"/>
      <c r="E488" s="460"/>
      <c r="F488" s="351"/>
      <c r="G488" s="456"/>
      <c r="H488" s="353"/>
      <c r="I488" s="433"/>
      <c r="J488" s="433"/>
    </row>
    <row r="489">
      <c r="A489" s="433"/>
      <c r="B489" s="456"/>
      <c r="C489" s="433"/>
      <c r="D489" s="433"/>
      <c r="E489" s="460"/>
      <c r="F489" s="351"/>
      <c r="G489" s="456"/>
      <c r="H489" s="353"/>
      <c r="I489" s="433"/>
      <c r="J489" s="433"/>
    </row>
    <row r="490">
      <c r="A490" s="433"/>
      <c r="B490" s="456"/>
      <c r="C490" s="433"/>
      <c r="D490" s="433"/>
      <c r="E490" s="460"/>
      <c r="F490" s="351"/>
      <c r="G490" s="456"/>
      <c r="H490" s="353"/>
      <c r="I490" s="433"/>
      <c r="J490" s="433"/>
    </row>
    <row r="491">
      <c r="A491" s="433"/>
      <c r="B491" s="456"/>
      <c r="C491" s="433"/>
      <c r="D491" s="433"/>
      <c r="E491" s="460"/>
      <c r="F491" s="351"/>
      <c r="G491" s="456"/>
      <c r="H491" s="353"/>
      <c r="I491" s="433"/>
      <c r="J491" s="433"/>
    </row>
    <row r="492">
      <c r="A492" s="433"/>
      <c r="B492" s="456"/>
      <c r="C492" s="433"/>
      <c r="D492" s="433"/>
      <c r="E492" s="460"/>
      <c r="F492" s="351"/>
      <c r="G492" s="456"/>
      <c r="H492" s="353"/>
      <c r="I492" s="433"/>
      <c r="J492" s="433"/>
    </row>
    <row r="493">
      <c r="A493" s="433"/>
      <c r="B493" s="456"/>
      <c r="C493" s="433"/>
      <c r="D493" s="433"/>
      <c r="E493" s="460"/>
      <c r="F493" s="351"/>
      <c r="G493" s="456"/>
      <c r="H493" s="353"/>
      <c r="I493" s="433"/>
      <c r="J493" s="433"/>
    </row>
    <row r="494">
      <c r="A494" s="433"/>
      <c r="B494" s="456"/>
      <c r="C494" s="433"/>
      <c r="D494" s="433"/>
      <c r="E494" s="460"/>
      <c r="F494" s="351"/>
      <c r="G494" s="456"/>
      <c r="H494" s="353"/>
      <c r="I494" s="433"/>
      <c r="J494" s="433"/>
    </row>
    <row r="495">
      <c r="A495" s="433"/>
      <c r="B495" s="456"/>
      <c r="C495" s="433"/>
      <c r="D495" s="433"/>
      <c r="E495" s="460"/>
      <c r="F495" s="351"/>
      <c r="G495" s="456"/>
      <c r="H495" s="353"/>
      <c r="I495" s="433"/>
      <c r="J495" s="433"/>
    </row>
    <row r="496">
      <c r="A496" s="433"/>
      <c r="B496" s="456"/>
      <c r="C496" s="433"/>
      <c r="D496" s="433"/>
      <c r="E496" s="460"/>
      <c r="F496" s="351"/>
      <c r="G496" s="456"/>
      <c r="H496" s="353"/>
      <c r="I496" s="433"/>
      <c r="J496" s="433"/>
    </row>
    <row r="497">
      <c r="A497" s="433"/>
      <c r="B497" s="456"/>
      <c r="C497" s="433"/>
      <c r="D497" s="433"/>
      <c r="E497" s="460"/>
      <c r="F497" s="351"/>
      <c r="G497" s="456"/>
      <c r="H497" s="353"/>
      <c r="I497" s="433"/>
      <c r="J497" s="433"/>
    </row>
    <row r="498">
      <c r="A498" s="433"/>
      <c r="B498" s="456"/>
      <c r="C498" s="433"/>
      <c r="D498" s="433"/>
      <c r="E498" s="460"/>
      <c r="F498" s="351"/>
      <c r="G498" s="456"/>
      <c r="H498" s="353"/>
      <c r="I498" s="433"/>
      <c r="J498" s="433"/>
    </row>
    <row r="499">
      <c r="A499" s="433"/>
      <c r="B499" s="456"/>
      <c r="C499" s="433"/>
      <c r="D499" s="433"/>
      <c r="E499" s="460"/>
      <c r="F499" s="351"/>
      <c r="G499" s="456"/>
      <c r="H499" s="353"/>
      <c r="I499" s="433"/>
      <c r="J499" s="433"/>
    </row>
    <row r="500">
      <c r="A500" s="433"/>
      <c r="B500" s="456"/>
      <c r="C500" s="433"/>
      <c r="D500" s="433"/>
      <c r="E500" s="460"/>
      <c r="F500" s="351"/>
      <c r="G500" s="456"/>
      <c r="H500" s="353"/>
      <c r="I500" s="433"/>
      <c r="J500" s="433"/>
    </row>
    <row r="501">
      <c r="A501" s="433"/>
      <c r="B501" s="456"/>
      <c r="C501" s="433"/>
      <c r="D501" s="433"/>
      <c r="E501" s="460"/>
      <c r="F501" s="351"/>
      <c r="G501" s="456"/>
      <c r="H501" s="353"/>
      <c r="I501" s="433"/>
      <c r="J501" s="433"/>
    </row>
    <row r="502">
      <c r="A502" s="433"/>
      <c r="B502" s="456"/>
      <c r="C502" s="433"/>
      <c r="D502" s="433"/>
      <c r="E502" s="460"/>
      <c r="F502" s="351"/>
      <c r="G502" s="456"/>
      <c r="H502" s="353"/>
      <c r="I502" s="433"/>
      <c r="J502" s="433"/>
    </row>
    <row r="503">
      <c r="A503" s="433"/>
      <c r="B503" s="456"/>
      <c r="C503" s="433"/>
      <c r="D503" s="433"/>
      <c r="E503" s="460"/>
      <c r="F503" s="351"/>
      <c r="G503" s="456"/>
      <c r="H503" s="353"/>
      <c r="I503" s="433"/>
      <c r="J503" s="433"/>
    </row>
    <row r="504">
      <c r="A504" s="433"/>
      <c r="B504" s="456"/>
      <c r="C504" s="433"/>
      <c r="D504" s="433"/>
      <c r="E504" s="460"/>
      <c r="F504" s="351"/>
      <c r="G504" s="456"/>
      <c r="H504" s="353"/>
      <c r="I504" s="433"/>
      <c r="J504" s="433"/>
    </row>
    <row r="505">
      <c r="A505" s="433"/>
      <c r="B505" s="456"/>
      <c r="C505" s="433"/>
      <c r="D505" s="433"/>
      <c r="E505" s="460"/>
      <c r="F505" s="351"/>
      <c r="G505" s="456"/>
      <c r="H505" s="353"/>
      <c r="I505" s="433"/>
      <c r="J505" s="433"/>
    </row>
    <row r="506">
      <c r="A506" s="433"/>
      <c r="B506" s="456"/>
      <c r="C506" s="433"/>
      <c r="D506" s="433"/>
      <c r="E506" s="460"/>
      <c r="F506" s="351"/>
      <c r="G506" s="456"/>
      <c r="H506" s="353"/>
      <c r="I506" s="433"/>
      <c r="J506" s="433"/>
    </row>
    <row r="507">
      <c r="A507" s="433"/>
      <c r="B507" s="456"/>
      <c r="C507" s="433"/>
      <c r="D507" s="433"/>
      <c r="E507" s="460"/>
      <c r="F507" s="351"/>
      <c r="G507" s="456"/>
      <c r="H507" s="353"/>
      <c r="I507" s="433"/>
      <c r="J507" s="433"/>
    </row>
    <row r="508">
      <c r="A508" s="433"/>
      <c r="B508" s="456"/>
      <c r="C508" s="433"/>
      <c r="D508" s="433"/>
      <c r="E508" s="460"/>
      <c r="F508" s="351"/>
      <c r="G508" s="456"/>
      <c r="H508" s="353"/>
      <c r="I508" s="433"/>
      <c r="J508" s="433"/>
    </row>
    <row r="509">
      <c r="A509" s="433"/>
      <c r="B509" s="456"/>
      <c r="C509" s="433"/>
      <c r="D509" s="433"/>
      <c r="E509" s="460"/>
      <c r="F509" s="351"/>
      <c r="G509" s="456"/>
      <c r="H509" s="353"/>
      <c r="I509" s="433"/>
      <c r="J509" s="433"/>
    </row>
    <row r="510">
      <c r="A510" s="433"/>
      <c r="B510" s="456"/>
      <c r="C510" s="433"/>
      <c r="D510" s="433"/>
      <c r="E510" s="460"/>
      <c r="F510" s="351"/>
      <c r="G510" s="456"/>
      <c r="H510" s="353"/>
      <c r="I510" s="433"/>
      <c r="J510" s="433"/>
    </row>
    <row r="511">
      <c r="A511" s="433"/>
      <c r="B511" s="456"/>
      <c r="C511" s="433"/>
      <c r="D511" s="433"/>
      <c r="E511" s="460"/>
      <c r="F511" s="351"/>
      <c r="G511" s="456"/>
      <c r="H511" s="353"/>
      <c r="I511" s="433"/>
      <c r="J511" s="433"/>
    </row>
    <row r="512">
      <c r="A512" s="433"/>
      <c r="B512" s="456"/>
      <c r="C512" s="433"/>
      <c r="D512" s="433"/>
      <c r="E512" s="460"/>
      <c r="F512" s="351"/>
      <c r="G512" s="456"/>
      <c r="H512" s="353"/>
      <c r="I512" s="433"/>
      <c r="J512" s="433"/>
    </row>
    <row r="513">
      <c r="A513" s="433"/>
      <c r="B513" s="456"/>
      <c r="C513" s="433"/>
      <c r="D513" s="433"/>
      <c r="E513" s="460"/>
      <c r="F513" s="351"/>
      <c r="G513" s="456"/>
      <c r="H513" s="353"/>
      <c r="I513" s="433"/>
      <c r="J513" s="433"/>
    </row>
    <row r="514">
      <c r="A514" s="433"/>
      <c r="B514" s="456"/>
      <c r="C514" s="433"/>
      <c r="D514" s="433"/>
      <c r="E514" s="460"/>
      <c r="F514" s="351"/>
      <c r="G514" s="456"/>
      <c r="H514" s="353"/>
      <c r="I514" s="433"/>
      <c r="J514" s="433"/>
    </row>
    <row r="515">
      <c r="A515" s="433"/>
      <c r="B515" s="456"/>
      <c r="C515" s="433"/>
      <c r="D515" s="433"/>
      <c r="E515" s="460"/>
      <c r="F515" s="351"/>
      <c r="G515" s="456"/>
      <c r="H515" s="353"/>
      <c r="I515" s="433"/>
      <c r="J515" s="433"/>
    </row>
    <row r="516">
      <c r="A516" s="433"/>
      <c r="B516" s="456"/>
      <c r="C516" s="433"/>
      <c r="D516" s="433"/>
      <c r="E516" s="460"/>
      <c r="F516" s="351"/>
      <c r="G516" s="456"/>
      <c r="H516" s="353"/>
      <c r="I516" s="433"/>
      <c r="J516" s="433"/>
    </row>
    <row r="517">
      <c r="A517" s="433"/>
      <c r="B517" s="456"/>
      <c r="C517" s="433"/>
      <c r="D517" s="433"/>
      <c r="E517" s="460"/>
      <c r="F517" s="351"/>
      <c r="G517" s="456"/>
      <c r="H517" s="353"/>
      <c r="I517" s="433"/>
      <c r="J517" s="433"/>
    </row>
    <row r="518">
      <c r="A518" s="433"/>
      <c r="B518" s="456"/>
      <c r="C518" s="433"/>
      <c r="D518" s="433"/>
      <c r="E518" s="460"/>
      <c r="F518" s="351"/>
      <c r="G518" s="456"/>
      <c r="H518" s="353"/>
      <c r="I518" s="433"/>
      <c r="J518" s="433"/>
    </row>
    <row r="519">
      <c r="A519" s="433"/>
      <c r="B519" s="456"/>
      <c r="C519" s="433"/>
      <c r="D519" s="433"/>
      <c r="E519" s="460"/>
      <c r="F519" s="351"/>
      <c r="G519" s="456"/>
      <c r="H519" s="353"/>
      <c r="I519" s="433"/>
      <c r="J519" s="433"/>
    </row>
    <row r="520">
      <c r="A520" s="433"/>
      <c r="B520" s="456"/>
      <c r="C520" s="433"/>
      <c r="D520" s="433"/>
      <c r="E520" s="460"/>
      <c r="F520" s="351"/>
      <c r="G520" s="456"/>
      <c r="H520" s="353"/>
      <c r="I520" s="433"/>
      <c r="J520" s="433"/>
    </row>
    <row r="521">
      <c r="A521" s="433"/>
      <c r="B521" s="456"/>
      <c r="C521" s="433"/>
      <c r="D521" s="433"/>
      <c r="E521" s="460"/>
      <c r="F521" s="351"/>
      <c r="G521" s="456"/>
      <c r="H521" s="353"/>
      <c r="I521" s="433"/>
      <c r="J521" s="433"/>
    </row>
    <row r="522">
      <c r="A522" s="433"/>
      <c r="B522" s="456"/>
      <c r="C522" s="433"/>
      <c r="D522" s="433"/>
      <c r="E522" s="460"/>
      <c r="F522" s="351"/>
      <c r="G522" s="456"/>
      <c r="H522" s="353"/>
      <c r="I522" s="433"/>
      <c r="J522" s="433"/>
    </row>
    <row r="523">
      <c r="A523" s="433"/>
      <c r="B523" s="456"/>
      <c r="C523" s="433"/>
      <c r="D523" s="433"/>
      <c r="E523" s="460"/>
      <c r="F523" s="351"/>
      <c r="G523" s="456"/>
      <c r="H523" s="353"/>
      <c r="I523" s="433"/>
      <c r="J523" s="433"/>
    </row>
    <row r="524">
      <c r="A524" s="433"/>
      <c r="B524" s="456"/>
      <c r="C524" s="433"/>
      <c r="D524" s="433"/>
      <c r="E524" s="460"/>
      <c r="F524" s="351"/>
      <c r="G524" s="456"/>
      <c r="H524" s="353"/>
      <c r="I524" s="433"/>
      <c r="J524" s="433"/>
    </row>
    <row r="525">
      <c r="A525" s="433"/>
      <c r="B525" s="456"/>
      <c r="C525" s="433"/>
      <c r="D525" s="433"/>
      <c r="E525" s="460"/>
      <c r="F525" s="351"/>
      <c r="G525" s="456"/>
      <c r="H525" s="353"/>
      <c r="I525" s="433"/>
      <c r="J525" s="433"/>
    </row>
    <row r="526">
      <c r="A526" s="433"/>
      <c r="B526" s="456"/>
      <c r="C526" s="433"/>
      <c r="D526" s="433"/>
      <c r="E526" s="460"/>
      <c r="F526" s="351"/>
      <c r="G526" s="456"/>
      <c r="H526" s="353"/>
      <c r="I526" s="433"/>
      <c r="J526" s="433"/>
    </row>
    <row r="527">
      <c r="A527" s="433"/>
      <c r="B527" s="456"/>
      <c r="C527" s="433"/>
      <c r="D527" s="433"/>
      <c r="E527" s="460"/>
      <c r="F527" s="351"/>
      <c r="G527" s="456"/>
      <c r="H527" s="353"/>
      <c r="I527" s="433"/>
      <c r="J527" s="433"/>
    </row>
    <row r="528">
      <c r="A528" s="433"/>
      <c r="B528" s="456"/>
      <c r="C528" s="433"/>
      <c r="D528" s="433"/>
      <c r="E528" s="460"/>
      <c r="F528" s="351"/>
      <c r="G528" s="456"/>
      <c r="H528" s="353"/>
      <c r="I528" s="433"/>
      <c r="J528" s="433"/>
    </row>
    <row r="529">
      <c r="A529" s="433"/>
      <c r="B529" s="456"/>
      <c r="C529" s="433"/>
      <c r="D529" s="433"/>
      <c r="E529" s="460"/>
      <c r="F529" s="351"/>
      <c r="G529" s="456"/>
      <c r="H529" s="353"/>
      <c r="I529" s="433"/>
      <c r="J529" s="433"/>
    </row>
    <row r="530">
      <c r="A530" s="433"/>
      <c r="B530" s="456"/>
      <c r="C530" s="433"/>
      <c r="D530" s="433"/>
      <c r="E530" s="460"/>
      <c r="F530" s="351"/>
      <c r="G530" s="456"/>
      <c r="H530" s="353"/>
      <c r="I530" s="433"/>
      <c r="J530" s="433"/>
    </row>
    <row r="531">
      <c r="A531" s="433"/>
      <c r="B531" s="456"/>
      <c r="C531" s="433"/>
      <c r="D531" s="433"/>
      <c r="E531" s="460"/>
      <c r="F531" s="351"/>
      <c r="G531" s="456"/>
      <c r="H531" s="353"/>
      <c r="I531" s="433"/>
      <c r="J531" s="433"/>
    </row>
    <row r="532">
      <c r="A532" s="433"/>
      <c r="B532" s="456"/>
      <c r="C532" s="433"/>
      <c r="D532" s="433"/>
      <c r="E532" s="460"/>
      <c r="F532" s="351"/>
      <c r="G532" s="456"/>
      <c r="H532" s="353"/>
      <c r="I532" s="433"/>
      <c r="J532" s="433"/>
    </row>
    <row r="533">
      <c r="A533" s="433"/>
      <c r="B533" s="456"/>
      <c r="C533" s="433"/>
      <c r="D533" s="433"/>
      <c r="E533" s="460"/>
      <c r="F533" s="351"/>
      <c r="G533" s="456"/>
      <c r="H533" s="353"/>
      <c r="I533" s="433"/>
      <c r="J533" s="433"/>
    </row>
    <row r="534">
      <c r="A534" s="433"/>
      <c r="B534" s="456"/>
      <c r="C534" s="433"/>
      <c r="D534" s="433"/>
      <c r="E534" s="460"/>
      <c r="F534" s="351"/>
      <c r="G534" s="456"/>
      <c r="H534" s="353"/>
      <c r="I534" s="433"/>
      <c r="J534" s="433"/>
    </row>
    <row r="535">
      <c r="A535" s="433"/>
      <c r="B535" s="456"/>
      <c r="C535" s="433"/>
      <c r="D535" s="433"/>
      <c r="E535" s="460"/>
      <c r="F535" s="351"/>
      <c r="G535" s="456"/>
      <c r="H535" s="353"/>
      <c r="I535" s="433"/>
      <c r="J535" s="433"/>
    </row>
    <row r="536">
      <c r="A536" s="433"/>
      <c r="B536" s="456"/>
      <c r="C536" s="433"/>
      <c r="D536" s="433"/>
      <c r="E536" s="460"/>
      <c r="F536" s="351"/>
      <c r="G536" s="456"/>
      <c r="H536" s="353"/>
      <c r="I536" s="433"/>
      <c r="J536" s="433"/>
    </row>
    <row r="537">
      <c r="A537" s="433"/>
      <c r="B537" s="456"/>
      <c r="C537" s="433"/>
      <c r="D537" s="433"/>
      <c r="E537" s="460"/>
      <c r="F537" s="351"/>
      <c r="G537" s="456"/>
      <c r="H537" s="353"/>
      <c r="I537" s="433"/>
      <c r="J537" s="433"/>
    </row>
    <row r="538">
      <c r="A538" s="433"/>
      <c r="B538" s="456"/>
      <c r="C538" s="433"/>
      <c r="D538" s="433"/>
      <c r="E538" s="460"/>
      <c r="F538" s="351"/>
      <c r="G538" s="456"/>
      <c r="H538" s="353"/>
      <c r="I538" s="433"/>
      <c r="J538" s="433"/>
    </row>
    <row r="539">
      <c r="A539" s="433"/>
      <c r="B539" s="456"/>
      <c r="C539" s="433"/>
      <c r="D539" s="433"/>
      <c r="E539" s="460"/>
      <c r="F539" s="351"/>
      <c r="G539" s="456"/>
      <c r="H539" s="353"/>
      <c r="I539" s="433"/>
      <c r="J539" s="433"/>
    </row>
    <row r="540">
      <c r="A540" s="433"/>
      <c r="B540" s="456"/>
      <c r="C540" s="433"/>
      <c r="D540" s="433"/>
      <c r="E540" s="460"/>
      <c r="F540" s="351"/>
      <c r="G540" s="456"/>
      <c r="H540" s="353"/>
      <c r="I540" s="433"/>
      <c r="J540" s="433"/>
    </row>
    <row r="541">
      <c r="A541" s="433"/>
      <c r="B541" s="456"/>
      <c r="C541" s="433"/>
      <c r="D541" s="433"/>
      <c r="E541" s="460"/>
      <c r="F541" s="351"/>
      <c r="G541" s="456"/>
      <c r="H541" s="353"/>
      <c r="I541" s="433"/>
      <c r="J541" s="433"/>
    </row>
    <row r="542">
      <c r="A542" s="433"/>
      <c r="B542" s="456"/>
      <c r="C542" s="433"/>
      <c r="D542" s="433"/>
      <c r="E542" s="460"/>
      <c r="F542" s="351"/>
      <c r="G542" s="456"/>
      <c r="H542" s="353"/>
      <c r="I542" s="433"/>
      <c r="J542" s="433"/>
    </row>
    <row r="543">
      <c r="A543" s="433"/>
      <c r="B543" s="456"/>
      <c r="C543" s="433"/>
      <c r="D543" s="433"/>
      <c r="E543" s="460"/>
      <c r="F543" s="351"/>
      <c r="G543" s="456"/>
      <c r="H543" s="353"/>
      <c r="I543" s="433"/>
      <c r="J543" s="433"/>
    </row>
    <row r="544">
      <c r="A544" s="433"/>
      <c r="B544" s="456"/>
      <c r="C544" s="433"/>
      <c r="D544" s="433"/>
      <c r="E544" s="460"/>
      <c r="F544" s="351"/>
      <c r="G544" s="456"/>
      <c r="H544" s="353"/>
      <c r="I544" s="433"/>
      <c r="J544" s="433"/>
    </row>
    <row r="545">
      <c r="A545" s="433"/>
      <c r="B545" s="456"/>
      <c r="C545" s="433"/>
      <c r="D545" s="433"/>
      <c r="E545" s="460"/>
      <c r="F545" s="351"/>
      <c r="G545" s="456"/>
      <c r="H545" s="353"/>
      <c r="I545" s="433"/>
      <c r="J545" s="433"/>
    </row>
    <row r="546">
      <c r="A546" s="433"/>
      <c r="B546" s="456"/>
      <c r="C546" s="433"/>
      <c r="D546" s="433"/>
      <c r="E546" s="460"/>
      <c r="F546" s="351"/>
      <c r="G546" s="456"/>
      <c r="H546" s="353"/>
      <c r="I546" s="433"/>
      <c r="J546" s="433"/>
    </row>
    <row r="547">
      <c r="A547" s="433"/>
      <c r="B547" s="456"/>
      <c r="C547" s="433"/>
      <c r="D547" s="433"/>
      <c r="E547" s="460"/>
      <c r="F547" s="351"/>
      <c r="G547" s="456"/>
      <c r="H547" s="353"/>
      <c r="I547" s="433"/>
      <c r="J547" s="433"/>
    </row>
    <row r="548">
      <c r="A548" s="433"/>
      <c r="B548" s="456"/>
      <c r="C548" s="433"/>
      <c r="D548" s="433"/>
      <c r="E548" s="460"/>
      <c r="F548" s="351"/>
      <c r="G548" s="456"/>
      <c r="H548" s="353"/>
      <c r="I548" s="433"/>
      <c r="J548" s="433"/>
    </row>
    <row r="549">
      <c r="A549" s="433"/>
      <c r="B549" s="456"/>
      <c r="C549" s="433"/>
      <c r="D549" s="433"/>
      <c r="E549" s="460"/>
      <c r="F549" s="351"/>
      <c r="G549" s="456"/>
      <c r="H549" s="353"/>
      <c r="I549" s="433"/>
      <c r="J549" s="433"/>
    </row>
    <row r="550">
      <c r="A550" s="433"/>
      <c r="B550" s="456"/>
      <c r="C550" s="433"/>
      <c r="D550" s="433"/>
      <c r="E550" s="460"/>
      <c r="F550" s="351"/>
      <c r="G550" s="456"/>
      <c r="H550" s="353"/>
      <c r="I550" s="433"/>
      <c r="J550" s="433"/>
    </row>
    <row r="551">
      <c r="A551" s="433"/>
      <c r="B551" s="456"/>
      <c r="C551" s="433"/>
      <c r="D551" s="433"/>
      <c r="E551" s="460"/>
      <c r="F551" s="351"/>
      <c r="G551" s="456"/>
      <c r="H551" s="353"/>
      <c r="I551" s="433"/>
      <c r="J551" s="433"/>
    </row>
    <row r="552">
      <c r="A552" s="433"/>
      <c r="B552" s="456"/>
      <c r="C552" s="433"/>
      <c r="D552" s="433"/>
      <c r="E552" s="460"/>
      <c r="F552" s="351"/>
      <c r="G552" s="456"/>
      <c r="H552" s="353"/>
      <c r="I552" s="433"/>
      <c r="J552" s="433"/>
    </row>
    <row r="553">
      <c r="A553" s="433"/>
      <c r="B553" s="456"/>
      <c r="C553" s="433"/>
      <c r="D553" s="433"/>
      <c r="E553" s="460"/>
      <c r="F553" s="351"/>
      <c r="G553" s="456"/>
      <c r="H553" s="353"/>
      <c r="I553" s="433"/>
      <c r="J553" s="433"/>
    </row>
    <row r="554">
      <c r="A554" s="433"/>
      <c r="B554" s="456"/>
      <c r="C554" s="433"/>
      <c r="D554" s="433"/>
      <c r="E554" s="460"/>
      <c r="F554" s="351"/>
      <c r="G554" s="456"/>
      <c r="H554" s="353"/>
      <c r="I554" s="433"/>
      <c r="J554" s="433"/>
    </row>
    <row r="555">
      <c r="A555" s="433"/>
      <c r="B555" s="456"/>
      <c r="C555" s="433"/>
      <c r="D555" s="433"/>
      <c r="E555" s="460"/>
      <c r="F555" s="351"/>
      <c r="G555" s="456"/>
      <c r="H555" s="353"/>
      <c r="I555" s="433"/>
      <c r="J555" s="433"/>
    </row>
    <row r="556">
      <c r="A556" s="433"/>
      <c r="B556" s="456"/>
      <c r="C556" s="433"/>
      <c r="D556" s="433"/>
      <c r="E556" s="460"/>
      <c r="F556" s="351"/>
      <c r="G556" s="456"/>
      <c r="H556" s="353"/>
      <c r="I556" s="433"/>
      <c r="J556" s="433"/>
    </row>
    <row r="557">
      <c r="A557" s="433"/>
      <c r="B557" s="456"/>
      <c r="C557" s="433"/>
      <c r="D557" s="433"/>
      <c r="E557" s="460"/>
      <c r="F557" s="351"/>
      <c r="G557" s="456"/>
      <c r="H557" s="353"/>
      <c r="I557" s="433"/>
      <c r="J557" s="433"/>
    </row>
    <row r="558">
      <c r="A558" s="433"/>
      <c r="B558" s="456"/>
      <c r="C558" s="433"/>
      <c r="D558" s="433"/>
      <c r="E558" s="460"/>
      <c r="F558" s="351"/>
      <c r="G558" s="456"/>
      <c r="H558" s="353"/>
      <c r="I558" s="433"/>
      <c r="J558" s="433"/>
    </row>
    <row r="559">
      <c r="A559" s="433"/>
      <c r="B559" s="456"/>
      <c r="C559" s="433"/>
      <c r="D559" s="433"/>
      <c r="E559" s="460"/>
      <c r="F559" s="351"/>
      <c r="G559" s="456"/>
      <c r="H559" s="353"/>
      <c r="I559" s="433"/>
      <c r="J559" s="433"/>
    </row>
    <row r="560">
      <c r="A560" s="433"/>
      <c r="B560" s="456"/>
      <c r="C560" s="433"/>
      <c r="D560" s="433"/>
      <c r="E560" s="460"/>
      <c r="F560" s="351"/>
      <c r="G560" s="456"/>
      <c r="H560" s="353"/>
      <c r="I560" s="433"/>
      <c r="J560" s="433"/>
    </row>
    <row r="561">
      <c r="A561" s="433"/>
      <c r="B561" s="456"/>
      <c r="C561" s="433"/>
      <c r="D561" s="433"/>
      <c r="E561" s="460"/>
      <c r="F561" s="351"/>
      <c r="G561" s="456"/>
      <c r="H561" s="353"/>
      <c r="I561" s="433"/>
      <c r="J561" s="433"/>
    </row>
    <row r="562">
      <c r="A562" s="433"/>
      <c r="B562" s="456"/>
      <c r="C562" s="433"/>
      <c r="D562" s="433"/>
      <c r="E562" s="460"/>
      <c r="F562" s="351"/>
      <c r="G562" s="456"/>
      <c r="H562" s="353"/>
      <c r="I562" s="433"/>
      <c r="J562" s="433"/>
    </row>
    <row r="563">
      <c r="A563" s="433"/>
      <c r="B563" s="456"/>
      <c r="C563" s="433"/>
      <c r="D563" s="433"/>
      <c r="E563" s="460"/>
      <c r="F563" s="351"/>
      <c r="G563" s="456"/>
      <c r="H563" s="353"/>
      <c r="I563" s="433"/>
      <c r="J563" s="433"/>
    </row>
    <row r="564">
      <c r="A564" s="433"/>
      <c r="B564" s="456"/>
      <c r="C564" s="433"/>
      <c r="D564" s="433"/>
      <c r="E564" s="460"/>
      <c r="F564" s="351"/>
      <c r="G564" s="456"/>
      <c r="H564" s="353"/>
      <c r="I564" s="433"/>
      <c r="J564" s="433"/>
    </row>
    <row r="565">
      <c r="A565" s="433"/>
      <c r="B565" s="456"/>
      <c r="C565" s="433"/>
      <c r="D565" s="433"/>
      <c r="E565" s="460"/>
      <c r="F565" s="351"/>
      <c r="G565" s="456"/>
      <c r="H565" s="353"/>
      <c r="I565" s="433"/>
      <c r="J565" s="433"/>
    </row>
    <row r="566">
      <c r="A566" s="433"/>
      <c r="B566" s="456"/>
      <c r="C566" s="433"/>
      <c r="D566" s="433"/>
      <c r="E566" s="460"/>
      <c r="F566" s="351"/>
      <c r="G566" s="456"/>
      <c r="H566" s="353"/>
      <c r="I566" s="433"/>
      <c r="J566" s="433"/>
    </row>
    <row r="567">
      <c r="A567" s="433"/>
      <c r="B567" s="456"/>
      <c r="C567" s="433"/>
      <c r="D567" s="433"/>
      <c r="E567" s="460"/>
      <c r="F567" s="351"/>
      <c r="G567" s="456"/>
      <c r="H567" s="353"/>
      <c r="I567" s="433"/>
      <c r="J567" s="433"/>
    </row>
    <row r="568">
      <c r="A568" s="433"/>
      <c r="B568" s="456"/>
      <c r="C568" s="433"/>
      <c r="D568" s="433"/>
      <c r="E568" s="460"/>
      <c r="F568" s="351"/>
      <c r="G568" s="456"/>
      <c r="H568" s="353"/>
      <c r="I568" s="433"/>
      <c r="J568" s="433"/>
    </row>
    <row r="569">
      <c r="A569" s="433"/>
      <c r="B569" s="456"/>
      <c r="C569" s="433"/>
      <c r="D569" s="433"/>
      <c r="E569" s="460"/>
      <c r="F569" s="351"/>
      <c r="G569" s="456"/>
      <c r="H569" s="353"/>
      <c r="I569" s="433"/>
      <c r="J569" s="433"/>
    </row>
    <row r="570">
      <c r="A570" s="433"/>
      <c r="B570" s="456"/>
      <c r="C570" s="433"/>
      <c r="D570" s="433"/>
      <c r="E570" s="460"/>
      <c r="F570" s="351"/>
      <c r="G570" s="456"/>
      <c r="H570" s="353"/>
      <c r="I570" s="433"/>
      <c r="J570" s="433"/>
    </row>
    <row r="571">
      <c r="A571" s="433"/>
      <c r="B571" s="456"/>
      <c r="C571" s="433"/>
      <c r="D571" s="433"/>
      <c r="E571" s="460"/>
      <c r="F571" s="351"/>
      <c r="G571" s="456"/>
      <c r="H571" s="353"/>
      <c r="I571" s="433"/>
      <c r="J571" s="433"/>
    </row>
    <row r="572">
      <c r="A572" s="433"/>
      <c r="B572" s="456"/>
      <c r="C572" s="433"/>
      <c r="D572" s="433"/>
      <c r="E572" s="460"/>
      <c r="F572" s="351"/>
      <c r="G572" s="456"/>
      <c r="H572" s="353"/>
      <c r="I572" s="433"/>
      <c r="J572" s="433"/>
    </row>
    <row r="573">
      <c r="A573" s="433"/>
      <c r="B573" s="456"/>
      <c r="C573" s="433"/>
      <c r="D573" s="433"/>
      <c r="E573" s="460"/>
      <c r="F573" s="351"/>
      <c r="G573" s="456"/>
      <c r="H573" s="353"/>
      <c r="I573" s="433"/>
      <c r="J573" s="433"/>
    </row>
    <row r="574">
      <c r="A574" s="433"/>
      <c r="B574" s="456"/>
      <c r="C574" s="433"/>
      <c r="D574" s="433"/>
      <c r="E574" s="460"/>
      <c r="F574" s="351"/>
      <c r="G574" s="456"/>
      <c r="H574" s="353"/>
      <c r="I574" s="433"/>
      <c r="J574" s="433"/>
    </row>
    <row r="575">
      <c r="A575" s="433"/>
      <c r="B575" s="456"/>
      <c r="C575" s="433"/>
      <c r="D575" s="433"/>
      <c r="E575" s="460"/>
      <c r="F575" s="351"/>
      <c r="G575" s="456"/>
      <c r="H575" s="353"/>
      <c r="I575" s="433"/>
      <c r="J575" s="433"/>
    </row>
    <row r="576">
      <c r="A576" s="433"/>
      <c r="B576" s="456"/>
      <c r="C576" s="433"/>
      <c r="D576" s="433"/>
      <c r="E576" s="460"/>
      <c r="F576" s="351"/>
      <c r="G576" s="456"/>
      <c r="H576" s="353"/>
      <c r="I576" s="433"/>
      <c r="J576" s="433"/>
    </row>
    <row r="577">
      <c r="A577" s="433"/>
      <c r="B577" s="456"/>
      <c r="C577" s="433"/>
      <c r="D577" s="433"/>
      <c r="E577" s="460"/>
      <c r="F577" s="351"/>
      <c r="G577" s="456"/>
      <c r="H577" s="353"/>
      <c r="I577" s="433"/>
      <c r="J577" s="433"/>
    </row>
    <row r="578">
      <c r="A578" s="433"/>
      <c r="B578" s="456"/>
      <c r="C578" s="433"/>
      <c r="D578" s="433"/>
      <c r="E578" s="460"/>
      <c r="F578" s="351"/>
      <c r="G578" s="456"/>
      <c r="H578" s="353"/>
      <c r="I578" s="433"/>
      <c r="J578" s="433"/>
    </row>
    <row r="579">
      <c r="A579" s="433"/>
      <c r="B579" s="456"/>
      <c r="C579" s="433"/>
      <c r="D579" s="433"/>
      <c r="E579" s="460"/>
      <c r="F579" s="351"/>
      <c r="G579" s="456"/>
      <c r="H579" s="353"/>
      <c r="I579" s="433"/>
      <c r="J579" s="433"/>
    </row>
    <row r="580">
      <c r="A580" s="433"/>
      <c r="B580" s="456"/>
      <c r="C580" s="433"/>
      <c r="D580" s="433"/>
      <c r="E580" s="460"/>
      <c r="F580" s="351"/>
      <c r="G580" s="456"/>
      <c r="H580" s="353"/>
      <c r="I580" s="433"/>
      <c r="J580" s="433"/>
    </row>
    <row r="581">
      <c r="A581" s="433"/>
      <c r="B581" s="456"/>
      <c r="C581" s="433"/>
      <c r="D581" s="433"/>
      <c r="E581" s="460"/>
      <c r="F581" s="351"/>
      <c r="G581" s="456"/>
      <c r="H581" s="353"/>
      <c r="I581" s="433"/>
      <c r="J581" s="433"/>
    </row>
    <row r="582">
      <c r="A582" s="433"/>
      <c r="B582" s="456"/>
      <c r="C582" s="433"/>
      <c r="D582" s="433"/>
      <c r="E582" s="460"/>
      <c r="F582" s="351"/>
      <c r="G582" s="456"/>
      <c r="H582" s="353"/>
      <c r="I582" s="433"/>
      <c r="J582" s="433"/>
    </row>
    <row r="583">
      <c r="A583" s="433"/>
      <c r="B583" s="456"/>
      <c r="C583" s="433"/>
      <c r="D583" s="433"/>
      <c r="E583" s="460"/>
      <c r="F583" s="351"/>
      <c r="G583" s="456"/>
      <c r="H583" s="353"/>
      <c r="I583" s="433"/>
      <c r="J583" s="433"/>
    </row>
    <row r="584">
      <c r="A584" s="433"/>
      <c r="B584" s="456"/>
      <c r="C584" s="433"/>
      <c r="D584" s="433"/>
      <c r="E584" s="460"/>
      <c r="F584" s="351"/>
      <c r="G584" s="456"/>
      <c r="H584" s="353"/>
      <c r="I584" s="433"/>
      <c r="J584" s="433"/>
    </row>
    <row r="585">
      <c r="A585" s="433"/>
      <c r="B585" s="456"/>
      <c r="C585" s="433"/>
      <c r="D585" s="433"/>
      <c r="E585" s="460"/>
      <c r="F585" s="351"/>
      <c r="G585" s="456"/>
      <c r="H585" s="353"/>
      <c r="I585" s="433"/>
      <c r="J585" s="433"/>
    </row>
    <row r="586">
      <c r="A586" s="433"/>
      <c r="B586" s="456"/>
      <c r="C586" s="433"/>
      <c r="D586" s="433"/>
      <c r="E586" s="460"/>
      <c r="F586" s="351"/>
      <c r="G586" s="456"/>
      <c r="H586" s="353"/>
      <c r="I586" s="433"/>
      <c r="J586" s="433"/>
    </row>
    <row r="587">
      <c r="A587" s="433"/>
      <c r="B587" s="456"/>
      <c r="C587" s="433"/>
      <c r="D587" s="433"/>
      <c r="E587" s="460"/>
      <c r="F587" s="351"/>
      <c r="G587" s="456"/>
      <c r="H587" s="353"/>
      <c r="I587" s="433"/>
      <c r="J587" s="433"/>
    </row>
    <row r="588">
      <c r="A588" s="433"/>
      <c r="B588" s="456"/>
      <c r="C588" s="433"/>
      <c r="D588" s="433"/>
      <c r="E588" s="460"/>
      <c r="F588" s="351"/>
      <c r="G588" s="456"/>
      <c r="H588" s="353"/>
      <c r="I588" s="433"/>
      <c r="J588" s="433"/>
    </row>
    <row r="589">
      <c r="A589" s="433"/>
      <c r="B589" s="456"/>
      <c r="C589" s="433"/>
      <c r="D589" s="433"/>
      <c r="E589" s="460"/>
      <c r="F589" s="351"/>
      <c r="G589" s="456"/>
      <c r="H589" s="353"/>
      <c r="I589" s="433"/>
      <c r="J589" s="433"/>
    </row>
    <row r="590">
      <c r="A590" s="433"/>
      <c r="B590" s="456"/>
      <c r="C590" s="433"/>
      <c r="D590" s="433"/>
      <c r="E590" s="460"/>
      <c r="F590" s="351"/>
      <c r="G590" s="456"/>
      <c r="H590" s="353"/>
      <c r="I590" s="433"/>
      <c r="J590" s="433"/>
    </row>
    <row r="591">
      <c r="A591" s="433"/>
      <c r="B591" s="456"/>
      <c r="C591" s="433"/>
      <c r="D591" s="433"/>
      <c r="E591" s="460"/>
      <c r="F591" s="351"/>
      <c r="G591" s="456"/>
      <c r="H591" s="353"/>
      <c r="I591" s="433"/>
      <c r="J591" s="433"/>
    </row>
    <row r="592">
      <c r="A592" s="433"/>
      <c r="B592" s="456"/>
      <c r="C592" s="433"/>
      <c r="D592" s="433"/>
      <c r="E592" s="460"/>
      <c r="F592" s="351"/>
      <c r="G592" s="456"/>
      <c r="H592" s="353"/>
      <c r="I592" s="433"/>
      <c r="J592" s="433"/>
    </row>
    <row r="593">
      <c r="A593" s="433"/>
      <c r="B593" s="456"/>
      <c r="C593" s="433"/>
      <c r="D593" s="433"/>
      <c r="E593" s="460"/>
      <c r="F593" s="351"/>
      <c r="G593" s="456"/>
      <c r="H593" s="353"/>
      <c r="I593" s="433"/>
      <c r="J593" s="433"/>
    </row>
    <row r="594">
      <c r="A594" s="433"/>
      <c r="B594" s="456"/>
      <c r="C594" s="433"/>
      <c r="D594" s="433"/>
      <c r="E594" s="460"/>
      <c r="F594" s="351"/>
      <c r="G594" s="456"/>
      <c r="H594" s="353"/>
      <c r="I594" s="433"/>
      <c r="J594" s="433"/>
    </row>
    <row r="595">
      <c r="A595" s="433"/>
      <c r="B595" s="456"/>
      <c r="C595" s="433"/>
      <c r="D595" s="433"/>
      <c r="E595" s="460"/>
      <c r="F595" s="351"/>
      <c r="G595" s="456"/>
      <c r="H595" s="353"/>
      <c r="I595" s="433"/>
      <c r="J595" s="433"/>
    </row>
    <row r="596">
      <c r="A596" s="433"/>
      <c r="B596" s="456"/>
      <c r="C596" s="433"/>
      <c r="D596" s="433"/>
      <c r="E596" s="460"/>
      <c r="F596" s="351"/>
      <c r="G596" s="456"/>
      <c r="H596" s="353"/>
      <c r="I596" s="433"/>
      <c r="J596" s="433"/>
    </row>
    <row r="597">
      <c r="A597" s="433"/>
      <c r="B597" s="456"/>
      <c r="C597" s="433"/>
      <c r="D597" s="433"/>
      <c r="E597" s="460"/>
      <c r="F597" s="351"/>
      <c r="G597" s="456"/>
      <c r="H597" s="353"/>
      <c r="I597" s="433"/>
      <c r="J597" s="433"/>
    </row>
    <row r="598">
      <c r="A598" s="433"/>
      <c r="B598" s="456"/>
      <c r="C598" s="433"/>
      <c r="D598" s="433"/>
      <c r="E598" s="460"/>
      <c r="F598" s="351"/>
      <c r="G598" s="456"/>
      <c r="H598" s="353"/>
      <c r="I598" s="433"/>
      <c r="J598" s="433"/>
    </row>
    <row r="599">
      <c r="A599" s="433"/>
      <c r="B599" s="456"/>
      <c r="C599" s="433"/>
      <c r="D599" s="433"/>
      <c r="E599" s="460"/>
      <c r="F599" s="351"/>
      <c r="G599" s="456"/>
      <c r="H599" s="353"/>
      <c r="I599" s="433"/>
      <c r="J599" s="433"/>
    </row>
    <row r="600">
      <c r="A600" s="433"/>
      <c r="B600" s="456"/>
      <c r="C600" s="433"/>
      <c r="D600" s="433"/>
      <c r="E600" s="460"/>
      <c r="F600" s="351"/>
      <c r="G600" s="456"/>
      <c r="H600" s="353"/>
      <c r="I600" s="433"/>
      <c r="J600" s="433"/>
    </row>
    <row r="601">
      <c r="A601" s="433"/>
      <c r="B601" s="456"/>
      <c r="C601" s="433"/>
      <c r="D601" s="433"/>
      <c r="E601" s="460"/>
      <c r="F601" s="351"/>
      <c r="G601" s="456"/>
      <c r="H601" s="353"/>
      <c r="I601" s="433"/>
      <c r="J601" s="433"/>
    </row>
    <row r="602">
      <c r="A602" s="433"/>
      <c r="B602" s="456"/>
      <c r="C602" s="433"/>
      <c r="D602" s="433"/>
      <c r="E602" s="460"/>
      <c r="F602" s="351"/>
      <c r="G602" s="456"/>
      <c r="H602" s="353"/>
      <c r="I602" s="433"/>
      <c r="J602" s="433"/>
    </row>
    <row r="603">
      <c r="A603" s="433"/>
      <c r="B603" s="456"/>
      <c r="C603" s="433"/>
      <c r="D603" s="433"/>
      <c r="E603" s="460"/>
      <c r="F603" s="351"/>
      <c r="G603" s="456"/>
      <c r="H603" s="353"/>
      <c r="I603" s="433"/>
      <c r="J603" s="433"/>
    </row>
    <row r="604">
      <c r="A604" s="433"/>
      <c r="B604" s="456"/>
      <c r="C604" s="433"/>
      <c r="D604" s="433"/>
      <c r="E604" s="460"/>
      <c r="F604" s="351"/>
      <c r="G604" s="456"/>
      <c r="H604" s="353"/>
      <c r="I604" s="433"/>
      <c r="J604" s="433"/>
    </row>
    <row r="605">
      <c r="A605" s="433"/>
      <c r="B605" s="456"/>
      <c r="C605" s="433"/>
      <c r="D605" s="433"/>
      <c r="E605" s="460"/>
      <c r="F605" s="351"/>
      <c r="G605" s="456"/>
      <c r="H605" s="353"/>
      <c r="I605" s="433"/>
      <c r="J605" s="433"/>
    </row>
    <row r="606">
      <c r="A606" s="433"/>
      <c r="B606" s="456"/>
      <c r="C606" s="433"/>
      <c r="D606" s="433"/>
      <c r="E606" s="460"/>
      <c r="F606" s="351"/>
      <c r="G606" s="456"/>
      <c r="H606" s="353"/>
      <c r="I606" s="433"/>
      <c r="J606" s="433"/>
    </row>
    <row r="607">
      <c r="A607" s="433"/>
      <c r="B607" s="456"/>
      <c r="C607" s="433"/>
      <c r="D607" s="433"/>
      <c r="E607" s="460"/>
      <c r="F607" s="351"/>
      <c r="G607" s="456"/>
      <c r="H607" s="353"/>
      <c r="I607" s="433"/>
      <c r="J607" s="433"/>
    </row>
    <row r="608">
      <c r="A608" s="433"/>
      <c r="B608" s="456"/>
      <c r="C608" s="433"/>
      <c r="D608" s="433"/>
      <c r="E608" s="460"/>
      <c r="F608" s="351"/>
      <c r="G608" s="456"/>
      <c r="H608" s="353"/>
      <c r="I608" s="433"/>
      <c r="J608" s="433"/>
    </row>
    <row r="609">
      <c r="A609" s="433"/>
      <c r="B609" s="456"/>
      <c r="C609" s="433"/>
      <c r="D609" s="433"/>
      <c r="E609" s="460"/>
      <c r="F609" s="351"/>
      <c r="G609" s="456"/>
      <c r="H609" s="353"/>
      <c r="I609" s="433"/>
      <c r="J609" s="433"/>
    </row>
    <row r="610">
      <c r="A610" s="433"/>
      <c r="B610" s="456"/>
      <c r="C610" s="433"/>
      <c r="D610" s="433"/>
      <c r="E610" s="460"/>
      <c r="F610" s="351"/>
      <c r="G610" s="456"/>
      <c r="H610" s="353"/>
      <c r="I610" s="433"/>
      <c r="J610" s="433"/>
    </row>
    <row r="611">
      <c r="A611" s="433"/>
      <c r="B611" s="456"/>
      <c r="C611" s="433"/>
      <c r="D611" s="433"/>
      <c r="E611" s="460"/>
      <c r="F611" s="351"/>
      <c r="G611" s="456"/>
      <c r="H611" s="353"/>
      <c r="I611" s="433"/>
      <c r="J611" s="433"/>
    </row>
    <row r="612">
      <c r="A612" s="433"/>
      <c r="B612" s="456"/>
      <c r="C612" s="433"/>
      <c r="D612" s="433"/>
      <c r="E612" s="460"/>
      <c r="F612" s="351"/>
      <c r="G612" s="456"/>
      <c r="H612" s="353"/>
      <c r="I612" s="433"/>
      <c r="J612" s="433"/>
    </row>
    <row r="613">
      <c r="A613" s="433"/>
      <c r="B613" s="456"/>
      <c r="C613" s="433"/>
      <c r="D613" s="433"/>
      <c r="E613" s="460"/>
      <c r="F613" s="351"/>
      <c r="G613" s="456"/>
      <c r="H613" s="353"/>
      <c r="I613" s="433"/>
      <c r="J613" s="433"/>
    </row>
    <row r="614">
      <c r="A614" s="433"/>
      <c r="B614" s="456"/>
      <c r="C614" s="433"/>
      <c r="D614" s="433"/>
      <c r="E614" s="460"/>
      <c r="F614" s="351"/>
      <c r="G614" s="456"/>
      <c r="H614" s="353"/>
      <c r="I614" s="433"/>
      <c r="J614" s="433"/>
    </row>
    <row r="615">
      <c r="A615" s="433"/>
      <c r="B615" s="456"/>
      <c r="C615" s="433"/>
      <c r="D615" s="433"/>
      <c r="E615" s="460"/>
      <c r="F615" s="351"/>
      <c r="G615" s="456"/>
      <c r="H615" s="353"/>
      <c r="I615" s="433"/>
      <c r="J615" s="433"/>
    </row>
    <row r="616">
      <c r="A616" s="433"/>
      <c r="B616" s="456"/>
      <c r="C616" s="433"/>
      <c r="D616" s="433"/>
      <c r="E616" s="460"/>
      <c r="F616" s="351"/>
      <c r="G616" s="456"/>
      <c r="H616" s="353"/>
      <c r="I616" s="433"/>
      <c r="J616" s="433"/>
    </row>
    <row r="617">
      <c r="A617" s="433"/>
      <c r="B617" s="456"/>
      <c r="C617" s="433"/>
      <c r="D617" s="433"/>
      <c r="E617" s="460"/>
      <c r="F617" s="351"/>
      <c r="G617" s="456"/>
      <c r="H617" s="353"/>
      <c r="I617" s="433"/>
      <c r="J617" s="433"/>
    </row>
    <row r="618">
      <c r="A618" s="433"/>
      <c r="B618" s="456"/>
      <c r="C618" s="433"/>
      <c r="D618" s="433"/>
      <c r="E618" s="460"/>
      <c r="F618" s="351"/>
      <c r="G618" s="456"/>
      <c r="H618" s="353"/>
      <c r="I618" s="433"/>
      <c r="J618" s="433"/>
    </row>
    <row r="619">
      <c r="A619" s="433"/>
      <c r="B619" s="456"/>
      <c r="C619" s="433"/>
      <c r="D619" s="433"/>
      <c r="E619" s="460"/>
      <c r="F619" s="351"/>
      <c r="G619" s="456"/>
      <c r="H619" s="353"/>
      <c r="I619" s="433"/>
      <c r="J619" s="433"/>
    </row>
    <row r="620">
      <c r="A620" s="433"/>
      <c r="B620" s="456"/>
      <c r="C620" s="433"/>
      <c r="D620" s="433"/>
      <c r="E620" s="460"/>
      <c r="F620" s="351"/>
      <c r="G620" s="456"/>
      <c r="H620" s="353"/>
      <c r="I620" s="433"/>
      <c r="J620" s="433"/>
    </row>
    <row r="621">
      <c r="A621" s="433"/>
      <c r="B621" s="456"/>
      <c r="C621" s="433"/>
      <c r="D621" s="433"/>
      <c r="E621" s="460"/>
      <c r="F621" s="351"/>
      <c r="G621" s="456"/>
      <c r="H621" s="353"/>
      <c r="I621" s="433"/>
      <c r="J621" s="433"/>
    </row>
    <row r="622">
      <c r="A622" s="433"/>
      <c r="B622" s="456"/>
      <c r="C622" s="433"/>
      <c r="D622" s="433"/>
      <c r="E622" s="460"/>
      <c r="F622" s="351"/>
      <c r="G622" s="456"/>
      <c r="H622" s="353"/>
      <c r="I622" s="433"/>
      <c r="J622" s="433"/>
    </row>
    <row r="623">
      <c r="A623" s="433"/>
      <c r="B623" s="456"/>
      <c r="C623" s="433"/>
      <c r="D623" s="433"/>
      <c r="E623" s="460"/>
      <c r="F623" s="351"/>
      <c r="G623" s="456"/>
      <c r="H623" s="353"/>
      <c r="I623" s="433"/>
      <c r="J623" s="433"/>
    </row>
    <row r="624">
      <c r="A624" s="433"/>
      <c r="B624" s="456"/>
      <c r="C624" s="433"/>
      <c r="D624" s="433"/>
      <c r="E624" s="460"/>
      <c r="F624" s="351"/>
      <c r="G624" s="456"/>
      <c r="H624" s="353"/>
      <c r="I624" s="433"/>
      <c r="J624" s="433"/>
    </row>
    <row r="625">
      <c r="A625" s="433"/>
      <c r="B625" s="456"/>
      <c r="C625" s="433"/>
      <c r="D625" s="433"/>
      <c r="E625" s="460"/>
      <c r="F625" s="351"/>
      <c r="G625" s="456"/>
      <c r="H625" s="353"/>
      <c r="I625" s="433"/>
      <c r="J625" s="433"/>
    </row>
    <row r="626">
      <c r="A626" s="433"/>
      <c r="B626" s="456"/>
      <c r="C626" s="433"/>
      <c r="D626" s="433"/>
      <c r="E626" s="460"/>
      <c r="F626" s="351"/>
      <c r="G626" s="456"/>
      <c r="H626" s="353"/>
      <c r="I626" s="433"/>
      <c r="J626" s="433"/>
    </row>
    <row r="627">
      <c r="A627" s="433"/>
      <c r="B627" s="456"/>
      <c r="C627" s="433"/>
      <c r="D627" s="433"/>
      <c r="E627" s="460"/>
      <c r="F627" s="351"/>
      <c r="G627" s="456"/>
      <c r="H627" s="353"/>
      <c r="I627" s="433"/>
      <c r="J627" s="433"/>
    </row>
    <row r="628">
      <c r="A628" s="433"/>
      <c r="B628" s="456"/>
      <c r="C628" s="433"/>
      <c r="D628" s="433"/>
      <c r="E628" s="460"/>
      <c r="F628" s="351"/>
      <c r="G628" s="456"/>
      <c r="H628" s="353"/>
      <c r="I628" s="433"/>
      <c r="J628" s="433"/>
    </row>
    <row r="629">
      <c r="A629" s="433"/>
      <c r="B629" s="456"/>
      <c r="C629" s="433"/>
      <c r="D629" s="433"/>
      <c r="E629" s="460"/>
      <c r="F629" s="351"/>
      <c r="G629" s="456"/>
      <c r="H629" s="353"/>
      <c r="I629" s="433"/>
      <c r="J629" s="433"/>
    </row>
    <row r="630">
      <c r="A630" s="433"/>
      <c r="B630" s="456"/>
      <c r="C630" s="433"/>
      <c r="D630" s="433"/>
      <c r="E630" s="460"/>
      <c r="F630" s="351"/>
      <c r="G630" s="456"/>
      <c r="H630" s="353"/>
      <c r="I630" s="433"/>
      <c r="J630" s="433"/>
    </row>
    <row r="631">
      <c r="A631" s="433"/>
      <c r="B631" s="456"/>
      <c r="C631" s="433"/>
      <c r="D631" s="433"/>
      <c r="E631" s="460"/>
      <c r="F631" s="351"/>
      <c r="G631" s="456"/>
      <c r="H631" s="353"/>
      <c r="I631" s="433"/>
      <c r="J631" s="433"/>
    </row>
    <row r="632">
      <c r="A632" s="433"/>
      <c r="B632" s="456"/>
      <c r="C632" s="433"/>
      <c r="D632" s="433"/>
      <c r="E632" s="460"/>
      <c r="F632" s="351"/>
      <c r="G632" s="456"/>
      <c r="H632" s="353"/>
      <c r="I632" s="433"/>
      <c r="J632" s="433"/>
    </row>
    <row r="633">
      <c r="A633" s="433"/>
      <c r="B633" s="456"/>
      <c r="C633" s="433"/>
      <c r="D633" s="433"/>
      <c r="E633" s="460"/>
      <c r="F633" s="351"/>
      <c r="G633" s="456"/>
      <c r="H633" s="353"/>
      <c r="I633" s="433"/>
      <c r="J633" s="433"/>
    </row>
    <row r="634">
      <c r="A634" s="433"/>
      <c r="B634" s="456"/>
      <c r="C634" s="433"/>
      <c r="D634" s="433"/>
      <c r="E634" s="460"/>
      <c r="F634" s="351"/>
      <c r="G634" s="456"/>
      <c r="H634" s="353"/>
      <c r="I634" s="433"/>
      <c r="J634" s="433"/>
    </row>
    <row r="635">
      <c r="A635" s="433"/>
      <c r="B635" s="456"/>
      <c r="C635" s="433"/>
      <c r="D635" s="433"/>
      <c r="E635" s="460"/>
      <c r="F635" s="351"/>
      <c r="G635" s="456"/>
      <c r="H635" s="353"/>
      <c r="I635" s="433"/>
      <c r="J635" s="433"/>
    </row>
    <row r="636">
      <c r="A636" s="433"/>
      <c r="B636" s="456"/>
      <c r="C636" s="433"/>
      <c r="D636" s="433"/>
      <c r="E636" s="460"/>
      <c r="F636" s="351"/>
      <c r="G636" s="456"/>
      <c r="H636" s="353"/>
      <c r="I636" s="433"/>
      <c r="J636" s="433"/>
    </row>
    <row r="637">
      <c r="A637" s="433"/>
      <c r="B637" s="456"/>
      <c r="C637" s="433"/>
      <c r="D637" s="433"/>
      <c r="E637" s="460"/>
      <c r="F637" s="351"/>
      <c r="G637" s="456"/>
      <c r="H637" s="353"/>
      <c r="I637" s="433"/>
      <c r="J637" s="433"/>
    </row>
    <row r="638">
      <c r="A638" s="433"/>
      <c r="B638" s="456"/>
      <c r="C638" s="433"/>
      <c r="D638" s="433"/>
      <c r="E638" s="460"/>
      <c r="F638" s="351"/>
      <c r="G638" s="456"/>
      <c r="H638" s="353"/>
      <c r="I638" s="433"/>
      <c r="J638" s="433"/>
    </row>
    <row r="639">
      <c r="A639" s="433"/>
      <c r="B639" s="456"/>
      <c r="C639" s="433"/>
      <c r="D639" s="433"/>
      <c r="E639" s="460"/>
      <c r="F639" s="351"/>
      <c r="G639" s="456"/>
      <c r="H639" s="353"/>
      <c r="I639" s="433"/>
      <c r="J639" s="433"/>
    </row>
    <row r="640">
      <c r="A640" s="433"/>
      <c r="B640" s="456"/>
      <c r="C640" s="433"/>
      <c r="D640" s="433"/>
      <c r="E640" s="460"/>
      <c r="F640" s="351"/>
      <c r="G640" s="456"/>
      <c r="H640" s="353"/>
      <c r="I640" s="433"/>
      <c r="J640" s="433"/>
    </row>
    <row r="641">
      <c r="A641" s="433"/>
      <c r="B641" s="456"/>
      <c r="C641" s="433"/>
      <c r="D641" s="433"/>
      <c r="E641" s="460"/>
      <c r="F641" s="351"/>
      <c r="G641" s="456"/>
      <c r="H641" s="353"/>
      <c r="I641" s="433"/>
      <c r="J641" s="433"/>
    </row>
    <row r="642">
      <c r="A642" s="433"/>
      <c r="B642" s="456"/>
      <c r="C642" s="433"/>
      <c r="D642" s="433"/>
      <c r="E642" s="460"/>
      <c r="F642" s="351"/>
      <c r="G642" s="456"/>
      <c r="H642" s="353"/>
      <c r="I642" s="433"/>
      <c r="J642" s="433"/>
    </row>
    <row r="643">
      <c r="A643" s="433"/>
      <c r="B643" s="456"/>
      <c r="C643" s="433"/>
      <c r="D643" s="433"/>
      <c r="E643" s="460"/>
      <c r="F643" s="351"/>
      <c r="G643" s="456"/>
      <c r="H643" s="353"/>
      <c r="I643" s="433"/>
      <c r="J643" s="433"/>
    </row>
    <row r="644">
      <c r="A644" s="433"/>
      <c r="B644" s="456"/>
      <c r="C644" s="433"/>
      <c r="D644" s="433"/>
      <c r="E644" s="460"/>
      <c r="F644" s="351"/>
      <c r="G644" s="456"/>
      <c r="H644" s="353"/>
      <c r="I644" s="433"/>
      <c r="J644" s="433"/>
    </row>
    <row r="645">
      <c r="A645" s="433"/>
      <c r="B645" s="456"/>
      <c r="C645" s="433"/>
      <c r="D645" s="433"/>
      <c r="E645" s="460"/>
      <c r="F645" s="351"/>
      <c r="G645" s="456"/>
      <c r="H645" s="353"/>
      <c r="I645" s="433"/>
      <c r="J645" s="433"/>
    </row>
    <row r="646">
      <c r="A646" s="433"/>
      <c r="B646" s="456"/>
      <c r="C646" s="433"/>
      <c r="D646" s="433"/>
      <c r="E646" s="460"/>
      <c r="F646" s="351"/>
      <c r="G646" s="456"/>
      <c r="H646" s="353"/>
      <c r="I646" s="433"/>
      <c r="J646" s="433"/>
    </row>
    <row r="647">
      <c r="A647" s="433"/>
      <c r="B647" s="456"/>
      <c r="C647" s="433"/>
      <c r="D647" s="433"/>
      <c r="E647" s="460"/>
      <c r="F647" s="351"/>
      <c r="G647" s="456"/>
      <c r="H647" s="353"/>
      <c r="I647" s="433"/>
      <c r="J647" s="433"/>
    </row>
    <row r="648">
      <c r="A648" s="433"/>
      <c r="B648" s="456"/>
      <c r="C648" s="433"/>
      <c r="D648" s="433"/>
      <c r="E648" s="460"/>
      <c r="F648" s="351"/>
      <c r="G648" s="456"/>
      <c r="H648" s="353"/>
      <c r="I648" s="433"/>
      <c r="J648" s="433"/>
    </row>
    <row r="649">
      <c r="A649" s="433"/>
      <c r="B649" s="456"/>
      <c r="C649" s="433"/>
      <c r="D649" s="433"/>
      <c r="E649" s="460"/>
      <c r="F649" s="351"/>
      <c r="G649" s="456"/>
      <c r="H649" s="353"/>
      <c r="I649" s="433"/>
      <c r="J649" s="433"/>
    </row>
    <row r="650">
      <c r="A650" s="433"/>
      <c r="B650" s="456"/>
      <c r="C650" s="433"/>
      <c r="D650" s="433"/>
      <c r="E650" s="460"/>
      <c r="F650" s="351"/>
      <c r="G650" s="456"/>
      <c r="H650" s="353"/>
      <c r="I650" s="433"/>
      <c r="J650" s="433"/>
    </row>
    <row r="651">
      <c r="A651" s="433"/>
      <c r="B651" s="456"/>
      <c r="C651" s="433"/>
      <c r="D651" s="433"/>
      <c r="E651" s="460"/>
      <c r="F651" s="351"/>
      <c r="G651" s="456"/>
      <c r="H651" s="353"/>
      <c r="I651" s="433"/>
      <c r="J651" s="433"/>
    </row>
    <row r="652">
      <c r="A652" s="433"/>
      <c r="B652" s="456"/>
      <c r="C652" s="433"/>
      <c r="D652" s="433"/>
      <c r="E652" s="460"/>
      <c r="F652" s="351"/>
      <c r="G652" s="456"/>
      <c r="H652" s="353"/>
      <c r="I652" s="433"/>
      <c r="J652" s="433"/>
    </row>
    <row r="653">
      <c r="A653" s="433"/>
      <c r="B653" s="456"/>
      <c r="C653" s="433"/>
      <c r="D653" s="433"/>
      <c r="E653" s="460"/>
      <c r="F653" s="351"/>
      <c r="G653" s="456"/>
      <c r="H653" s="353"/>
      <c r="I653" s="433"/>
      <c r="J653" s="433"/>
    </row>
    <row r="654">
      <c r="A654" s="433"/>
      <c r="B654" s="456"/>
      <c r="C654" s="433"/>
      <c r="D654" s="433"/>
      <c r="E654" s="460"/>
      <c r="F654" s="351"/>
      <c r="G654" s="456"/>
      <c r="H654" s="353"/>
      <c r="I654" s="433"/>
      <c r="J654" s="433"/>
    </row>
    <row r="655">
      <c r="A655" s="433"/>
      <c r="B655" s="456"/>
      <c r="C655" s="433"/>
      <c r="D655" s="433"/>
      <c r="E655" s="460"/>
      <c r="F655" s="351"/>
      <c r="G655" s="456"/>
      <c r="H655" s="353"/>
      <c r="I655" s="433"/>
      <c r="J655" s="433"/>
    </row>
    <row r="656">
      <c r="A656" s="433"/>
      <c r="B656" s="456"/>
      <c r="C656" s="433"/>
      <c r="D656" s="433"/>
      <c r="E656" s="460"/>
      <c r="F656" s="351"/>
      <c r="G656" s="456"/>
      <c r="H656" s="353"/>
      <c r="I656" s="433"/>
      <c r="J656" s="433"/>
    </row>
    <row r="657">
      <c r="A657" s="433"/>
      <c r="B657" s="456"/>
      <c r="C657" s="433"/>
      <c r="D657" s="433"/>
      <c r="E657" s="460"/>
      <c r="F657" s="351"/>
      <c r="G657" s="456"/>
      <c r="H657" s="353"/>
      <c r="I657" s="433"/>
      <c r="J657" s="433"/>
    </row>
    <row r="658">
      <c r="A658" s="433"/>
      <c r="B658" s="456"/>
      <c r="C658" s="433"/>
      <c r="D658" s="433"/>
      <c r="E658" s="460"/>
      <c r="F658" s="351"/>
      <c r="G658" s="456"/>
      <c r="H658" s="353"/>
      <c r="I658" s="433"/>
      <c r="J658" s="433"/>
    </row>
    <row r="659">
      <c r="A659" s="433"/>
      <c r="B659" s="456"/>
      <c r="C659" s="433"/>
      <c r="D659" s="433"/>
      <c r="E659" s="460"/>
      <c r="F659" s="351"/>
      <c r="G659" s="456"/>
      <c r="H659" s="353"/>
      <c r="I659" s="433"/>
      <c r="J659" s="433"/>
    </row>
    <row r="660">
      <c r="A660" s="433"/>
      <c r="B660" s="456"/>
      <c r="C660" s="433"/>
      <c r="D660" s="433"/>
      <c r="E660" s="460"/>
      <c r="F660" s="351"/>
      <c r="G660" s="456"/>
      <c r="H660" s="353"/>
      <c r="I660" s="433"/>
      <c r="J660" s="433"/>
    </row>
    <row r="661">
      <c r="A661" s="433"/>
      <c r="B661" s="456"/>
      <c r="C661" s="433"/>
      <c r="D661" s="433"/>
      <c r="E661" s="460"/>
      <c r="F661" s="351"/>
      <c r="G661" s="456"/>
      <c r="H661" s="353"/>
      <c r="I661" s="433"/>
      <c r="J661" s="433"/>
    </row>
    <row r="662">
      <c r="A662" s="433"/>
      <c r="B662" s="456"/>
      <c r="C662" s="433"/>
      <c r="D662" s="433"/>
      <c r="E662" s="460"/>
      <c r="F662" s="351"/>
      <c r="G662" s="456"/>
      <c r="H662" s="353"/>
      <c r="I662" s="433"/>
      <c r="J662" s="433"/>
    </row>
    <row r="663">
      <c r="A663" s="433"/>
      <c r="B663" s="456"/>
      <c r="C663" s="433"/>
      <c r="D663" s="433"/>
      <c r="E663" s="460"/>
      <c r="F663" s="351"/>
      <c r="G663" s="456"/>
      <c r="H663" s="353"/>
      <c r="I663" s="433"/>
      <c r="J663" s="433"/>
    </row>
    <row r="664">
      <c r="A664" s="433"/>
      <c r="B664" s="456"/>
      <c r="C664" s="433"/>
      <c r="D664" s="433"/>
      <c r="E664" s="460"/>
      <c r="F664" s="351"/>
      <c r="G664" s="456"/>
      <c r="H664" s="353"/>
      <c r="I664" s="433"/>
      <c r="J664" s="433"/>
    </row>
    <row r="665">
      <c r="A665" s="433"/>
      <c r="B665" s="456"/>
      <c r="C665" s="433"/>
      <c r="D665" s="433"/>
      <c r="E665" s="460"/>
      <c r="F665" s="351"/>
      <c r="G665" s="456"/>
      <c r="H665" s="353"/>
      <c r="I665" s="433"/>
      <c r="J665" s="433"/>
    </row>
    <row r="666">
      <c r="A666" s="433"/>
      <c r="B666" s="456"/>
      <c r="C666" s="433"/>
      <c r="D666" s="433"/>
      <c r="E666" s="460"/>
      <c r="F666" s="351"/>
      <c r="G666" s="456"/>
      <c r="H666" s="353"/>
      <c r="I666" s="433"/>
      <c r="J666" s="433"/>
    </row>
    <row r="667">
      <c r="A667" s="433"/>
      <c r="B667" s="456"/>
      <c r="C667" s="433"/>
      <c r="D667" s="433"/>
      <c r="E667" s="460"/>
      <c r="F667" s="351"/>
      <c r="G667" s="456"/>
      <c r="H667" s="353"/>
      <c r="I667" s="433"/>
      <c r="J667" s="433"/>
    </row>
    <row r="668">
      <c r="A668" s="433"/>
      <c r="B668" s="456"/>
      <c r="C668" s="433"/>
      <c r="D668" s="433"/>
      <c r="E668" s="460"/>
      <c r="F668" s="351"/>
      <c r="G668" s="456"/>
      <c r="H668" s="353"/>
      <c r="I668" s="433"/>
      <c r="J668" s="433"/>
    </row>
    <row r="669">
      <c r="A669" s="433"/>
      <c r="B669" s="456"/>
      <c r="C669" s="433"/>
      <c r="D669" s="433"/>
      <c r="E669" s="460"/>
      <c r="F669" s="351"/>
      <c r="G669" s="456"/>
      <c r="H669" s="353"/>
      <c r="I669" s="433"/>
      <c r="J669" s="433"/>
    </row>
    <row r="670">
      <c r="A670" s="433"/>
      <c r="B670" s="456"/>
      <c r="C670" s="433"/>
      <c r="D670" s="433"/>
      <c r="E670" s="460"/>
      <c r="F670" s="351"/>
      <c r="G670" s="456"/>
      <c r="H670" s="353"/>
      <c r="I670" s="433"/>
      <c r="J670" s="433"/>
    </row>
    <row r="671">
      <c r="A671" s="433"/>
      <c r="B671" s="456"/>
      <c r="C671" s="433"/>
      <c r="D671" s="433"/>
      <c r="E671" s="460"/>
      <c r="F671" s="351"/>
      <c r="G671" s="456"/>
      <c r="H671" s="353"/>
      <c r="I671" s="433"/>
      <c r="J671" s="433"/>
    </row>
    <row r="672">
      <c r="A672" s="433"/>
      <c r="B672" s="456"/>
      <c r="C672" s="433"/>
      <c r="D672" s="433"/>
      <c r="E672" s="460"/>
      <c r="F672" s="351"/>
      <c r="G672" s="456"/>
      <c r="H672" s="353"/>
      <c r="I672" s="433"/>
      <c r="J672" s="433"/>
    </row>
    <row r="673">
      <c r="A673" s="433"/>
      <c r="B673" s="456"/>
      <c r="C673" s="433"/>
      <c r="D673" s="433"/>
      <c r="E673" s="460"/>
      <c r="F673" s="351"/>
      <c r="G673" s="456"/>
      <c r="H673" s="353"/>
      <c r="I673" s="433"/>
      <c r="J673" s="433"/>
    </row>
    <row r="674">
      <c r="A674" s="433"/>
      <c r="B674" s="456"/>
      <c r="C674" s="433"/>
      <c r="D674" s="433"/>
      <c r="E674" s="460"/>
      <c r="F674" s="351"/>
      <c r="G674" s="456"/>
      <c r="H674" s="353"/>
      <c r="I674" s="433"/>
      <c r="J674" s="433"/>
    </row>
    <row r="675">
      <c r="A675" s="433"/>
      <c r="B675" s="456"/>
      <c r="C675" s="433"/>
      <c r="D675" s="433"/>
      <c r="E675" s="460"/>
      <c r="F675" s="351"/>
      <c r="G675" s="456"/>
      <c r="H675" s="353"/>
      <c r="I675" s="433"/>
      <c r="J675" s="433"/>
    </row>
    <row r="676">
      <c r="A676" s="433"/>
      <c r="B676" s="456"/>
      <c r="C676" s="433"/>
      <c r="D676" s="433"/>
      <c r="E676" s="460"/>
      <c r="F676" s="351"/>
      <c r="G676" s="456"/>
      <c r="H676" s="353"/>
      <c r="I676" s="433"/>
      <c r="J676" s="433"/>
    </row>
    <row r="677">
      <c r="A677" s="433"/>
      <c r="B677" s="456"/>
      <c r="C677" s="433"/>
      <c r="D677" s="433"/>
      <c r="E677" s="460"/>
      <c r="F677" s="351"/>
      <c r="G677" s="456"/>
      <c r="H677" s="353"/>
      <c r="I677" s="433"/>
      <c r="J677" s="433"/>
    </row>
    <row r="678">
      <c r="A678" s="433"/>
      <c r="B678" s="456"/>
      <c r="C678" s="433"/>
      <c r="D678" s="433"/>
      <c r="E678" s="460"/>
      <c r="F678" s="351"/>
      <c r="G678" s="456"/>
      <c r="H678" s="353"/>
      <c r="I678" s="433"/>
      <c r="J678" s="433"/>
    </row>
    <row r="679">
      <c r="A679" s="433"/>
      <c r="B679" s="456"/>
      <c r="C679" s="433"/>
      <c r="D679" s="433"/>
      <c r="E679" s="460"/>
      <c r="F679" s="351"/>
      <c r="G679" s="456"/>
      <c r="H679" s="353"/>
      <c r="I679" s="433"/>
      <c r="J679" s="433"/>
    </row>
    <row r="680">
      <c r="A680" s="433"/>
      <c r="B680" s="456"/>
      <c r="C680" s="433"/>
      <c r="D680" s="433"/>
      <c r="E680" s="460"/>
      <c r="F680" s="351"/>
      <c r="G680" s="456"/>
      <c r="H680" s="353"/>
      <c r="I680" s="433"/>
      <c r="J680" s="433"/>
    </row>
    <row r="681">
      <c r="A681" s="433"/>
      <c r="B681" s="456"/>
      <c r="C681" s="433"/>
      <c r="D681" s="433"/>
      <c r="E681" s="460"/>
      <c r="F681" s="351"/>
      <c r="G681" s="456"/>
      <c r="H681" s="353"/>
      <c r="I681" s="433"/>
      <c r="J681" s="433"/>
    </row>
    <row r="682">
      <c r="A682" s="433"/>
      <c r="B682" s="456"/>
      <c r="C682" s="433"/>
      <c r="D682" s="433"/>
      <c r="E682" s="460"/>
      <c r="F682" s="351"/>
      <c r="G682" s="456"/>
      <c r="H682" s="353"/>
      <c r="I682" s="433"/>
      <c r="J682" s="433"/>
    </row>
    <row r="683">
      <c r="A683" s="433"/>
      <c r="B683" s="456"/>
      <c r="C683" s="433"/>
      <c r="D683" s="433"/>
      <c r="E683" s="460"/>
      <c r="F683" s="351"/>
      <c r="G683" s="456"/>
      <c r="H683" s="353"/>
      <c r="I683" s="433"/>
      <c r="J683" s="433"/>
    </row>
    <row r="684">
      <c r="A684" s="433"/>
      <c r="B684" s="456"/>
      <c r="C684" s="433"/>
      <c r="D684" s="433"/>
      <c r="E684" s="460"/>
      <c r="F684" s="351"/>
      <c r="G684" s="456"/>
      <c r="H684" s="353"/>
      <c r="I684" s="433"/>
      <c r="J684" s="433"/>
    </row>
    <row r="685">
      <c r="A685" s="433"/>
      <c r="B685" s="456"/>
      <c r="C685" s="433"/>
      <c r="D685" s="433"/>
      <c r="E685" s="460"/>
      <c r="F685" s="351"/>
      <c r="G685" s="456"/>
      <c r="H685" s="353"/>
      <c r="I685" s="433"/>
      <c r="J685" s="433"/>
    </row>
    <row r="686">
      <c r="A686" s="433"/>
      <c r="B686" s="456"/>
      <c r="C686" s="433"/>
      <c r="D686" s="433"/>
      <c r="E686" s="460"/>
      <c r="F686" s="351"/>
      <c r="G686" s="456"/>
      <c r="H686" s="353"/>
      <c r="I686" s="433"/>
      <c r="J686" s="433"/>
    </row>
    <row r="687">
      <c r="A687" s="433"/>
      <c r="B687" s="456"/>
      <c r="C687" s="433"/>
      <c r="D687" s="433"/>
      <c r="E687" s="460"/>
      <c r="F687" s="351"/>
      <c r="G687" s="456"/>
      <c r="H687" s="353"/>
      <c r="I687" s="433"/>
      <c r="J687" s="433"/>
    </row>
    <row r="688">
      <c r="A688" s="433"/>
      <c r="B688" s="456"/>
      <c r="C688" s="433"/>
      <c r="D688" s="433"/>
      <c r="E688" s="460"/>
      <c r="F688" s="351"/>
      <c r="G688" s="456"/>
      <c r="H688" s="353"/>
      <c r="I688" s="433"/>
      <c r="J688" s="433"/>
    </row>
    <row r="689">
      <c r="A689" s="433"/>
      <c r="B689" s="456"/>
      <c r="C689" s="433"/>
      <c r="D689" s="433"/>
      <c r="E689" s="460"/>
      <c r="F689" s="351"/>
      <c r="G689" s="456"/>
      <c r="H689" s="353"/>
      <c r="I689" s="433"/>
      <c r="J689" s="433"/>
    </row>
    <row r="690">
      <c r="A690" s="433"/>
      <c r="B690" s="456"/>
      <c r="C690" s="433"/>
      <c r="D690" s="433"/>
      <c r="E690" s="460"/>
      <c r="F690" s="351"/>
      <c r="G690" s="456"/>
      <c r="H690" s="353"/>
      <c r="I690" s="433"/>
      <c r="J690" s="433"/>
    </row>
    <row r="691">
      <c r="A691" s="433"/>
      <c r="B691" s="456"/>
      <c r="C691" s="433"/>
      <c r="D691" s="433"/>
      <c r="E691" s="460"/>
      <c r="F691" s="351"/>
      <c r="G691" s="456"/>
      <c r="H691" s="353"/>
      <c r="I691" s="433"/>
      <c r="J691" s="433"/>
    </row>
    <row r="692">
      <c r="A692" s="433"/>
      <c r="B692" s="456"/>
      <c r="C692" s="433"/>
      <c r="D692" s="433"/>
      <c r="E692" s="460"/>
      <c r="F692" s="351"/>
      <c r="G692" s="456"/>
      <c r="H692" s="353"/>
      <c r="I692" s="433"/>
      <c r="J692" s="433"/>
    </row>
    <row r="693">
      <c r="A693" s="433"/>
      <c r="B693" s="456"/>
      <c r="C693" s="433"/>
      <c r="D693" s="433"/>
      <c r="E693" s="460"/>
      <c r="F693" s="351"/>
      <c r="G693" s="456"/>
      <c r="H693" s="353"/>
      <c r="I693" s="433"/>
      <c r="J693" s="433"/>
    </row>
    <row r="694">
      <c r="A694" s="433"/>
      <c r="B694" s="456"/>
      <c r="C694" s="433"/>
      <c r="D694" s="433"/>
      <c r="E694" s="460"/>
      <c r="F694" s="351"/>
      <c r="G694" s="456"/>
      <c r="H694" s="353"/>
      <c r="I694" s="433"/>
      <c r="J694" s="433"/>
    </row>
    <row r="695">
      <c r="A695" s="433"/>
      <c r="B695" s="456"/>
      <c r="C695" s="433"/>
      <c r="D695" s="433"/>
      <c r="E695" s="460"/>
      <c r="F695" s="351"/>
      <c r="G695" s="456"/>
      <c r="H695" s="353"/>
      <c r="I695" s="433"/>
      <c r="J695" s="433"/>
    </row>
    <row r="696">
      <c r="A696" s="433"/>
      <c r="B696" s="456"/>
      <c r="C696" s="433"/>
      <c r="D696" s="433"/>
      <c r="E696" s="460"/>
      <c r="F696" s="351"/>
      <c r="G696" s="456"/>
      <c r="H696" s="353"/>
      <c r="I696" s="433"/>
      <c r="J696" s="433"/>
    </row>
    <row r="697">
      <c r="A697" s="433"/>
      <c r="B697" s="456"/>
      <c r="C697" s="433"/>
      <c r="D697" s="433"/>
      <c r="E697" s="460"/>
      <c r="F697" s="351"/>
      <c r="G697" s="456"/>
      <c r="H697" s="353"/>
      <c r="I697" s="433"/>
      <c r="J697" s="433"/>
    </row>
    <row r="698">
      <c r="A698" s="433"/>
      <c r="B698" s="456"/>
      <c r="C698" s="433"/>
      <c r="D698" s="433"/>
      <c r="E698" s="460"/>
      <c r="F698" s="351"/>
      <c r="G698" s="456"/>
      <c r="H698" s="353"/>
      <c r="I698" s="433"/>
      <c r="J698" s="433"/>
    </row>
    <row r="699">
      <c r="A699" s="433"/>
      <c r="B699" s="456"/>
      <c r="C699" s="433"/>
      <c r="D699" s="433"/>
      <c r="E699" s="460"/>
      <c r="F699" s="351"/>
      <c r="G699" s="456"/>
      <c r="H699" s="353"/>
      <c r="I699" s="433"/>
      <c r="J699" s="433"/>
    </row>
    <row r="700">
      <c r="A700" s="433"/>
      <c r="B700" s="456"/>
      <c r="C700" s="433"/>
      <c r="D700" s="433"/>
      <c r="E700" s="460"/>
      <c r="F700" s="351"/>
      <c r="G700" s="456"/>
      <c r="H700" s="353"/>
      <c r="I700" s="433"/>
      <c r="J700" s="433"/>
    </row>
    <row r="701">
      <c r="A701" s="433"/>
      <c r="B701" s="456"/>
      <c r="C701" s="433"/>
      <c r="D701" s="433"/>
      <c r="E701" s="460"/>
      <c r="F701" s="351"/>
      <c r="G701" s="456"/>
      <c r="H701" s="353"/>
      <c r="I701" s="433"/>
      <c r="J701" s="433"/>
    </row>
    <row r="702">
      <c r="A702" s="433"/>
      <c r="B702" s="456"/>
      <c r="C702" s="433"/>
      <c r="D702" s="433"/>
      <c r="E702" s="460"/>
      <c r="F702" s="351"/>
      <c r="G702" s="456"/>
      <c r="H702" s="353"/>
      <c r="I702" s="433"/>
      <c r="J702" s="433"/>
    </row>
    <row r="703">
      <c r="A703" s="433"/>
      <c r="B703" s="456"/>
      <c r="C703" s="433"/>
      <c r="D703" s="433"/>
      <c r="E703" s="460"/>
      <c r="F703" s="351"/>
      <c r="G703" s="456"/>
      <c r="H703" s="353"/>
      <c r="I703" s="433"/>
      <c r="J703" s="433"/>
    </row>
    <row r="704">
      <c r="A704" s="433"/>
      <c r="B704" s="456"/>
      <c r="C704" s="433"/>
      <c r="D704" s="433"/>
      <c r="E704" s="460"/>
      <c r="F704" s="351"/>
      <c r="G704" s="456"/>
      <c r="H704" s="353"/>
      <c r="I704" s="433"/>
      <c r="J704" s="433"/>
    </row>
    <row r="705">
      <c r="A705" s="433"/>
      <c r="B705" s="456"/>
      <c r="C705" s="433"/>
      <c r="D705" s="433"/>
      <c r="E705" s="460"/>
      <c r="F705" s="351"/>
      <c r="G705" s="456"/>
      <c r="H705" s="353"/>
      <c r="I705" s="433"/>
      <c r="J705" s="433"/>
    </row>
    <row r="706">
      <c r="A706" s="433"/>
      <c r="B706" s="456"/>
      <c r="C706" s="433"/>
      <c r="D706" s="433"/>
      <c r="E706" s="460"/>
      <c r="F706" s="351"/>
      <c r="G706" s="456"/>
      <c r="H706" s="353"/>
      <c r="I706" s="433"/>
      <c r="J706" s="433"/>
    </row>
    <row r="707">
      <c r="A707" s="433"/>
      <c r="B707" s="456"/>
      <c r="C707" s="433"/>
      <c r="D707" s="433"/>
      <c r="E707" s="460"/>
      <c r="F707" s="351"/>
      <c r="G707" s="456"/>
      <c r="H707" s="353"/>
      <c r="I707" s="433"/>
      <c r="J707" s="433"/>
    </row>
    <row r="708">
      <c r="A708" s="433"/>
      <c r="B708" s="456"/>
      <c r="C708" s="433"/>
      <c r="D708" s="433"/>
      <c r="E708" s="460"/>
      <c r="F708" s="351"/>
      <c r="G708" s="456"/>
      <c r="H708" s="353"/>
      <c r="I708" s="433"/>
      <c r="J708" s="433"/>
    </row>
    <row r="709">
      <c r="A709" s="433"/>
      <c r="B709" s="456"/>
      <c r="C709" s="433"/>
      <c r="D709" s="433"/>
      <c r="E709" s="460"/>
      <c r="F709" s="351"/>
      <c r="G709" s="456"/>
      <c r="H709" s="353"/>
      <c r="I709" s="433"/>
      <c r="J709" s="433"/>
    </row>
    <row r="710">
      <c r="A710" s="433"/>
      <c r="B710" s="456"/>
      <c r="C710" s="433"/>
      <c r="D710" s="433"/>
      <c r="E710" s="460"/>
      <c r="F710" s="351"/>
      <c r="G710" s="456"/>
      <c r="H710" s="353"/>
      <c r="I710" s="433"/>
      <c r="J710" s="433"/>
    </row>
    <row r="711">
      <c r="A711" s="433"/>
      <c r="B711" s="456"/>
      <c r="C711" s="433"/>
      <c r="D711" s="433"/>
      <c r="E711" s="460"/>
      <c r="F711" s="351"/>
      <c r="G711" s="456"/>
      <c r="H711" s="353"/>
      <c r="I711" s="433"/>
      <c r="J711" s="433"/>
    </row>
    <row r="712">
      <c r="A712" s="433"/>
      <c r="B712" s="456"/>
      <c r="C712" s="433"/>
      <c r="D712" s="433"/>
      <c r="E712" s="460"/>
      <c r="F712" s="351"/>
      <c r="G712" s="456"/>
      <c r="H712" s="353"/>
      <c r="I712" s="433"/>
      <c r="J712" s="433"/>
    </row>
    <row r="713">
      <c r="A713" s="433"/>
      <c r="B713" s="456"/>
      <c r="C713" s="433"/>
      <c r="D713" s="433"/>
      <c r="E713" s="460"/>
      <c r="F713" s="351"/>
      <c r="G713" s="456"/>
      <c r="H713" s="353"/>
      <c r="I713" s="433"/>
      <c r="J713" s="433"/>
    </row>
    <row r="714">
      <c r="A714" s="433"/>
      <c r="B714" s="456"/>
      <c r="C714" s="433"/>
      <c r="D714" s="433"/>
      <c r="E714" s="460"/>
      <c r="F714" s="351"/>
      <c r="G714" s="456"/>
      <c r="H714" s="353"/>
      <c r="I714" s="433"/>
      <c r="J714" s="433"/>
    </row>
    <row r="715">
      <c r="A715" s="433"/>
      <c r="B715" s="456"/>
      <c r="C715" s="433"/>
      <c r="D715" s="433"/>
      <c r="E715" s="460"/>
      <c r="F715" s="351"/>
      <c r="G715" s="456"/>
      <c r="H715" s="353"/>
      <c r="I715" s="433"/>
      <c r="J715" s="433"/>
    </row>
    <row r="716">
      <c r="A716" s="433"/>
      <c r="B716" s="456"/>
      <c r="C716" s="433"/>
      <c r="D716" s="433"/>
      <c r="E716" s="460"/>
      <c r="F716" s="351"/>
      <c r="G716" s="456"/>
      <c r="H716" s="353"/>
      <c r="I716" s="433"/>
      <c r="J716" s="433"/>
    </row>
    <row r="717">
      <c r="A717" s="433"/>
      <c r="B717" s="456"/>
      <c r="C717" s="433"/>
      <c r="D717" s="433"/>
      <c r="E717" s="460"/>
      <c r="F717" s="351"/>
      <c r="G717" s="456"/>
      <c r="H717" s="353"/>
      <c r="I717" s="433"/>
      <c r="J717" s="433"/>
    </row>
    <row r="718">
      <c r="A718" s="433"/>
      <c r="B718" s="456"/>
      <c r="C718" s="433"/>
      <c r="D718" s="433"/>
      <c r="E718" s="460"/>
      <c r="F718" s="351"/>
      <c r="G718" s="456"/>
      <c r="H718" s="353"/>
      <c r="I718" s="433"/>
      <c r="J718" s="433"/>
    </row>
    <row r="719">
      <c r="A719" s="433"/>
      <c r="B719" s="456"/>
      <c r="C719" s="433"/>
      <c r="D719" s="433"/>
      <c r="E719" s="460"/>
      <c r="F719" s="351"/>
      <c r="G719" s="456"/>
      <c r="H719" s="353"/>
      <c r="I719" s="433"/>
      <c r="J719" s="433"/>
    </row>
    <row r="720">
      <c r="A720" s="433"/>
      <c r="B720" s="456"/>
      <c r="C720" s="433"/>
      <c r="D720" s="433"/>
      <c r="E720" s="460"/>
      <c r="F720" s="351"/>
      <c r="G720" s="456"/>
      <c r="H720" s="353"/>
      <c r="I720" s="433"/>
      <c r="J720" s="433"/>
    </row>
    <row r="721">
      <c r="A721" s="433"/>
      <c r="B721" s="456"/>
      <c r="C721" s="433"/>
      <c r="D721" s="433"/>
      <c r="E721" s="460"/>
      <c r="F721" s="351"/>
      <c r="G721" s="456"/>
      <c r="H721" s="353"/>
      <c r="I721" s="433"/>
      <c r="J721" s="433"/>
    </row>
    <row r="722">
      <c r="A722" s="433"/>
      <c r="B722" s="456"/>
      <c r="C722" s="433"/>
      <c r="D722" s="433"/>
      <c r="E722" s="460"/>
      <c r="F722" s="351"/>
      <c r="G722" s="456"/>
      <c r="H722" s="353"/>
      <c r="I722" s="433"/>
      <c r="J722" s="433"/>
    </row>
    <row r="723">
      <c r="A723" s="433"/>
      <c r="B723" s="456"/>
      <c r="C723" s="433"/>
      <c r="D723" s="433"/>
      <c r="E723" s="460"/>
      <c r="F723" s="351"/>
      <c r="G723" s="456"/>
      <c r="H723" s="353"/>
      <c r="I723" s="433"/>
      <c r="J723" s="433"/>
    </row>
    <row r="724">
      <c r="A724" s="433"/>
      <c r="B724" s="456"/>
      <c r="C724" s="433"/>
      <c r="D724" s="433"/>
      <c r="E724" s="460"/>
      <c r="F724" s="351"/>
      <c r="G724" s="456"/>
      <c r="H724" s="353"/>
      <c r="I724" s="433"/>
      <c r="J724" s="433"/>
    </row>
    <row r="725">
      <c r="A725" s="433"/>
      <c r="B725" s="456"/>
      <c r="C725" s="433"/>
      <c r="D725" s="433"/>
      <c r="E725" s="460"/>
      <c r="F725" s="351"/>
      <c r="G725" s="456"/>
      <c r="H725" s="353"/>
      <c r="I725" s="433"/>
      <c r="J725" s="433"/>
    </row>
    <row r="726">
      <c r="A726" s="433"/>
      <c r="B726" s="456"/>
      <c r="C726" s="433"/>
      <c r="D726" s="433"/>
      <c r="E726" s="460"/>
      <c r="F726" s="351"/>
      <c r="G726" s="456"/>
      <c r="H726" s="353"/>
      <c r="I726" s="433"/>
      <c r="J726" s="433"/>
    </row>
    <row r="727">
      <c r="A727" s="433"/>
      <c r="B727" s="456"/>
      <c r="C727" s="433"/>
      <c r="D727" s="433"/>
      <c r="E727" s="460"/>
      <c r="F727" s="351"/>
      <c r="G727" s="456"/>
      <c r="H727" s="353"/>
      <c r="I727" s="433"/>
      <c r="J727" s="433"/>
    </row>
    <row r="728">
      <c r="A728" s="433"/>
      <c r="B728" s="456"/>
      <c r="C728" s="433"/>
      <c r="D728" s="433"/>
      <c r="E728" s="460"/>
      <c r="F728" s="351"/>
      <c r="G728" s="456"/>
      <c r="H728" s="353"/>
      <c r="I728" s="433"/>
      <c r="J728" s="433"/>
    </row>
    <row r="729">
      <c r="A729" s="433"/>
      <c r="B729" s="456"/>
      <c r="C729" s="433"/>
      <c r="D729" s="433"/>
      <c r="E729" s="460"/>
      <c r="F729" s="351"/>
      <c r="G729" s="456"/>
      <c r="H729" s="353"/>
      <c r="I729" s="433"/>
      <c r="J729" s="433"/>
    </row>
    <row r="730">
      <c r="A730" s="433"/>
      <c r="B730" s="456"/>
      <c r="C730" s="433"/>
      <c r="D730" s="433"/>
      <c r="E730" s="460"/>
      <c r="F730" s="351"/>
      <c r="G730" s="456"/>
      <c r="H730" s="353"/>
      <c r="I730" s="433"/>
      <c r="J730" s="433"/>
    </row>
    <row r="731">
      <c r="A731" s="433"/>
      <c r="B731" s="456"/>
      <c r="C731" s="433"/>
      <c r="D731" s="433"/>
      <c r="E731" s="460"/>
      <c r="F731" s="351"/>
      <c r="G731" s="456"/>
      <c r="H731" s="353"/>
      <c r="I731" s="433"/>
      <c r="J731" s="433"/>
    </row>
    <row r="732">
      <c r="A732" s="433"/>
      <c r="B732" s="456"/>
      <c r="C732" s="433"/>
      <c r="D732" s="433"/>
      <c r="E732" s="460"/>
      <c r="F732" s="351"/>
      <c r="G732" s="456"/>
      <c r="H732" s="353"/>
      <c r="I732" s="433"/>
      <c r="J732" s="433"/>
    </row>
    <row r="733">
      <c r="A733" s="433"/>
      <c r="B733" s="456"/>
      <c r="C733" s="433"/>
      <c r="D733" s="433"/>
      <c r="E733" s="460"/>
      <c r="F733" s="351"/>
      <c r="G733" s="456"/>
      <c r="H733" s="353"/>
      <c r="I733" s="433"/>
      <c r="J733" s="433"/>
    </row>
    <row r="734">
      <c r="A734" s="433"/>
      <c r="B734" s="456"/>
      <c r="C734" s="433"/>
      <c r="D734" s="433"/>
      <c r="E734" s="460"/>
      <c r="F734" s="351"/>
      <c r="G734" s="456"/>
      <c r="H734" s="353"/>
      <c r="I734" s="433"/>
      <c r="J734" s="433"/>
    </row>
    <row r="735">
      <c r="A735" s="433"/>
      <c r="B735" s="456"/>
      <c r="C735" s="433"/>
      <c r="D735" s="433"/>
      <c r="E735" s="460"/>
      <c r="F735" s="351"/>
      <c r="G735" s="456"/>
      <c r="H735" s="353"/>
      <c r="I735" s="433"/>
      <c r="J735" s="433"/>
    </row>
    <row r="736">
      <c r="A736" s="433"/>
      <c r="B736" s="456"/>
      <c r="C736" s="433"/>
      <c r="D736" s="433"/>
      <c r="E736" s="460"/>
      <c r="F736" s="351"/>
      <c r="G736" s="456"/>
      <c r="H736" s="353"/>
      <c r="I736" s="433"/>
      <c r="J736" s="433"/>
    </row>
    <row r="737">
      <c r="A737" s="433"/>
      <c r="B737" s="456"/>
      <c r="C737" s="433"/>
      <c r="D737" s="433"/>
      <c r="E737" s="460"/>
      <c r="F737" s="351"/>
      <c r="G737" s="456"/>
      <c r="H737" s="353"/>
      <c r="I737" s="433"/>
      <c r="J737" s="433"/>
    </row>
    <row r="738">
      <c r="A738" s="433"/>
      <c r="B738" s="456"/>
      <c r="C738" s="433"/>
      <c r="D738" s="433"/>
      <c r="E738" s="460"/>
      <c r="F738" s="351"/>
      <c r="G738" s="456"/>
      <c r="H738" s="353"/>
      <c r="I738" s="433"/>
      <c r="J738" s="433"/>
    </row>
    <row r="739">
      <c r="A739" s="433"/>
      <c r="B739" s="456"/>
      <c r="C739" s="433"/>
      <c r="D739" s="433"/>
      <c r="E739" s="460"/>
      <c r="F739" s="351"/>
      <c r="G739" s="456"/>
      <c r="H739" s="353"/>
      <c r="I739" s="433"/>
      <c r="J739" s="433"/>
    </row>
    <row r="740">
      <c r="A740" s="433"/>
      <c r="B740" s="456"/>
      <c r="C740" s="433"/>
      <c r="D740" s="433"/>
      <c r="E740" s="460"/>
      <c r="F740" s="351"/>
      <c r="G740" s="456"/>
      <c r="H740" s="353"/>
      <c r="I740" s="433"/>
      <c r="J740" s="433"/>
    </row>
    <row r="741">
      <c r="A741" s="433"/>
      <c r="B741" s="456"/>
      <c r="C741" s="433"/>
      <c r="D741" s="433"/>
      <c r="E741" s="460"/>
      <c r="F741" s="351"/>
      <c r="G741" s="456"/>
      <c r="H741" s="353"/>
      <c r="I741" s="433"/>
      <c r="J741" s="433"/>
    </row>
    <row r="742">
      <c r="A742" s="433"/>
      <c r="B742" s="456"/>
      <c r="C742" s="433"/>
      <c r="D742" s="433"/>
      <c r="E742" s="460"/>
      <c r="F742" s="351"/>
      <c r="G742" s="456"/>
      <c r="H742" s="353"/>
      <c r="I742" s="433"/>
      <c r="J742" s="433"/>
    </row>
    <row r="743">
      <c r="A743" s="433"/>
      <c r="B743" s="456"/>
      <c r="C743" s="433"/>
      <c r="D743" s="433"/>
      <c r="E743" s="460"/>
      <c r="F743" s="351"/>
      <c r="G743" s="456"/>
      <c r="H743" s="353"/>
      <c r="I743" s="433"/>
      <c r="J743" s="433"/>
    </row>
    <row r="744">
      <c r="A744" s="433"/>
      <c r="B744" s="456"/>
      <c r="C744" s="433"/>
      <c r="D744" s="433"/>
      <c r="E744" s="460"/>
      <c r="F744" s="351"/>
      <c r="G744" s="456"/>
      <c r="H744" s="353"/>
      <c r="I744" s="433"/>
      <c r="J744" s="433"/>
    </row>
    <row r="745">
      <c r="A745" s="433"/>
      <c r="B745" s="456"/>
      <c r="C745" s="433"/>
      <c r="D745" s="433"/>
      <c r="E745" s="460"/>
      <c r="F745" s="351"/>
      <c r="G745" s="456"/>
      <c r="H745" s="353"/>
      <c r="I745" s="433"/>
      <c r="J745" s="433"/>
    </row>
    <row r="746">
      <c r="A746" s="433"/>
      <c r="B746" s="456"/>
      <c r="C746" s="433"/>
      <c r="D746" s="433"/>
      <c r="E746" s="460"/>
      <c r="F746" s="351"/>
      <c r="G746" s="456"/>
      <c r="H746" s="353"/>
      <c r="I746" s="433"/>
      <c r="J746" s="433"/>
    </row>
    <row r="747">
      <c r="A747" s="433"/>
      <c r="B747" s="456"/>
      <c r="C747" s="433"/>
      <c r="D747" s="433"/>
      <c r="E747" s="460"/>
      <c r="F747" s="351"/>
      <c r="G747" s="456"/>
      <c r="H747" s="353"/>
      <c r="I747" s="433"/>
      <c r="J747" s="433"/>
    </row>
    <row r="748">
      <c r="A748" s="433"/>
      <c r="B748" s="456"/>
      <c r="C748" s="433"/>
      <c r="D748" s="433"/>
      <c r="E748" s="460"/>
      <c r="F748" s="351"/>
      <c r="G748" s="456"/>
      <c r="H748" s="353"/>
      <c r="I748" s="433"/>
      <c r="J748" s="433"/>
    </row>
    <row r="749">
      <c r="A749" s="433"/>
      <c r="B749" s="456"/>
      <c r="C749" s="433"/>
      <c r="D749" s="433"/>
      <c r="E749" s="460"/>
      <c r="F749" s="351"/>
      <c r="G749" s="456"/>
      <c r="H749" s="353"/>
      <c r="I749" s="433"/>
      <c r="J749" s="433"/>
    </row>
    <row r="750">
      <c r="A750" s="433"/>
      <c r="B750" s="456"/>
      <c r="C750" s="433"/>
      <c r="D750" s="433"/>
      <c r="E750" s="460"/>
      <c r="F750" s="351"/>
      <c r="G750" s="456"/>
      <c r="H750" s="353"/>
      <c r="I750" s="433"/>
      <c r="J750" s="433"/>
    </row>
    <row r="751">
      <c r="A751" s="433"/>
      <c r="B751" s="456"/>
      <c r="C751" s="433"/>
      <c r="D751" s="433"/>
      <c r="E751" s="460"/>
      <c r="F751" s="351"/>
      <c r="G751" s="456"/>
      <c r="H751" s="353"/>
      <c r="I751" s="433"/>
      <c r="J751" s="433"/>
    </row>
    <row r="752">
      <c r="A752" s="433"/>
      <c r="B752" s="456"/>
      <c r="C752" s="433"/>
      <c r="D752" s="433"/>
      <c r="E752" s="460"/>
      <c r="F752" s="351"/>
      <c r="G752" s="456"/>
      <c r="H752" s="353"/>
      <c r="I752" s="433"/>
      <c r="J752" s="433"/>
    </row>
    <row r="753">
      <c r="A753" s="433"/>
      <c r="B753" s="456"/>
      <c r="C753" s="433"/>
      <c r="D753" s="433"/>
      <c r="E753" s="460"/>
      <c r="F753" s="351"/>
      <c r="G753" s="456"/>
      <c r="H753" s="353"/>
      <c r="I753" s="433"/>
      <c r="J753" s="433"/>
    </row>
    <row r="754">
      <c r="A754" s="433"/>
      <c r="B754" s="456"/>
      <c r="C754" s="433"/>
      <c r="D754" s="433"/>
      <c r="E754" s="460"/>
      <c r="F754" s="351"/>
      <c r="G754" s="456"/>
      <c r="H754" s="353"/>
      <c r="I754" s="433"/>
      <c r="J754" s="433"/>
    </row>
    <row r="755">
      <c r="A755" s="433"/>
      <c r="B755" s="456"/>
      <c r="C755" s="433"/>
      <c r="D755" s="433"/>
      <c r="E755" s="460"/>
      <c r="F755" s="351"/>
      <c r="G755" s="456"/>
      <c r="H755" s="353"/>
      <c r="I755" s="433"/>
      <c r="J755" s="433"/>
    </row>
    <row r="756">
      <c r="A756" s="433"/>
      <c r="B756" s="456"/>
      <c r="C756" s="433"/>
      <c r="D756" s="433"/>
      <c r="E756" s="460"/>
      <c r="F756" s="351"/>
      <c r="G756" s="456"/>
      <c r="H756" s="353"/>
      <c r="I756" s="433"/>
      <c r="J756" s="433"/>
    </row>
    <row r="757">
      <c r="A757" s="433"/>
      <c r="B757" s="456"/>
      <c r="C757" s="433"/>
      <c r="D757" s="433"/>
      <c r="E757" s="460"/>
      <c r="F757" s="351"/>
      <c r="G757" s="456"/>
      <c r="H757" s="353"/>
      <c r="I757" s="433"/>
      <c r="J757" s="433"/>
    </row>
    <row r="758">
      <c r="A758" s="433"/>
      <c r="B758" s="456"/>
      <c r="C758" s="433"/>
      <c r="D758" s="433"/>
      <c r="E758" s="460"/>
      <c r="F758" s="351"/>
      <c r="G758" s="456"/>
      <c r="H758" s="353"/>
      <c r="I758" s="433"/>
      <c r="J758" s="433"/>
    </row>
    <row r="759">
      <c r="A759" s="433"/>
      <c r="B759" s="456"/>
      <c r="C759" s="433"/>
      <c r="D759" s="433"/>
      <c r="E759" s="460"/>
      <c r="F759" s="351"/>
      <c r="G759" s="456"/>
      <c r="H759" s="353"/>
      <c r="I759" s="433"/>
      <c r="J759" s="433"/>
    </row>
    <row r="760">
      <c r="A760" s="433"/>
      <c r="B760" s="456"/>
      <c r="C760" s="433"/>
      <c r="D760" s="433"/>
      <c r="E760" s="460"/>
      <c r="F760" s="351"/>
      <c r="G760" s="456"/>
      <c r="H760" s="353"/>
      <c r="I760" s="433"/>
      <c r="J760" s="433"/>
    </row>
    <row r="761">
      <c r="A761" s="433"/>
      <c r="B761" s="456"/>
      <c r="C761" s="433"/>
      <c r="D761" s="433"/>
      <c r="E761" s="460"/>
      <c r="F761" s="351"/>
      <c r="G761" s="456"/>
      <c r="H761" s="353"/>
      <c r="I761" s="433"/>
      <c r="J761" s="433"/>
    </row>
    <row r="762">
      <c r="A762" s="433"/>
      <c r="B762" s="456"/>
      <c r="C762" s="433"/>
      <c r="D762" s="433"/>
      <c r="E762" s="460"/>
      <c r="F762" s="351"/>
      <c r="G762" s="456"/>
      <c r="H762" s="353"/>
      <c r="I762" s="433"/>
      <c r="J762" s="433"/>
    </row>
    <row r="763">
      <c r="A763" s="433"/>
      <c r="B763" s="456"/>
      <c r="C763" s="433"/>
      <c r="D763" s="433"/>
      <c r="E763" s="460"/>
      <c r="F763" s="351"/>
      <c r="G763" s="456"/>
      <c r="H763" s="353"/>
      <c r="I763" s="433"/>
      <c r="J763" s="433"/>
    </row>
    <row r="764">
      <c r="A764" s="433"/>
      <c r="B764" s="456"/>
      <c r="C764" s="433"/>
      <c r="D764" s="433"/>
      <c r="E764" s="460"/>
      <c r="F764" s="351"/>
      <c r="G764" s="456"/>
      <c r="H764" s="353"/>
      <c r="I764" s="433"/>
      <c r="J764" s="433"/>
    </row>
    <row r="765">
      <c r="A765" s="433"/>
      <c r="B765" s="456"/>
      <c r="C765" s="433"/>
      <c r="D765" s="433"/>
      <c r="E765" s="460"/>
      <c r="F765" s="351"/>
      <c r="G765" s="456"/>
      <c r="H765" s="353"/>
      <c r="I765" s="433"/>
      <c r="J765" s="433"/>
    </row>
    <row r="766">
      <c r="A766" s="433"/>
      <c r="B766" s="456"/>
      <c r="C766" s="433"/>
      <c r="D766" s="433"/>
      <c r="E766" s="460"/>
      <c r="F766" s="351"/>
      <c r="G766" s="456"/>
      <c r="H766" s="353"/>
      <c r="I766" s="433"/>
      <c r="J766" s="433"/>
    </row>
    <row r="767">
      <c r="A767" s="433"/>
      <c r="B767" s="456"/>
      <c r="C767" s="433"/>
      <c r="D767" s="433"/>
      <c r="E767" s="460"/>
      <c r="F767" s="351"/>
      <c r="G767" s="456"/>
      <c r="H767" s="353"/>
      <c r="I767" s="433"/>
      <c r="J767" s="433"/>
    </row>
    <row r="768">
      <c r="A768" s="433"/>
      <c r="B768" s="456"/>
      <c r="C768" s="433"/>
      <c r="D768" s="433"/>
      <c r="E768" s="460"/>
      <c r="F768" s="351"/>
      <c r="G768" s="456"/>
      <c r="H768" s="353"/>
      <c r="I768" s="433"/>
      <c r="J768" s="433"/>
    </row>
    <row r="769">
      <c r="A769" s="433"/>
      <c r="B769" s="456"/>
      <c r="C769" s="433"/>
      <c r="D769" s="433"/>
      <c r="E769" s="460"/>
      <c r="F769" s="351"/>
      <c r="G769" s="456"/>
      <c r="H769" s="353"/>
      <c r="I769" s="433"/>
      <c r="J769" s="433"/>
    </row>
    <row r="770">
      <c r="A770" s="433"/>
      <c r="B770" s="456"/>
      <c r="C770" s="433"/>
      <c r="D770" s="433"/>
      <c r="E770" s="460"/>
      <c r="F770" s="351"/>
      <c r="G770" s="456"/>
      <c r="H770" s="353"/>
      <c r="I770" s="433"/>
      <c r="J770" s="433"/>
    </row>
    <row r="771">
      <c r="A771" s="433"/>
      <c r="B771" s="456"/>
      <c r="C771" s="433"/>
      <c r="D771" s="433"/>
      <c r="E771" s="460"/>
      <c r="F771" s="351"/>
      <c r="G771" s="456"/>
      <c r="H771" s="353"/>
      <c r="I771" s="433"/>
      <c r="J771" s="433"/>
    </row>
    <row r="772">
      <c r="A772" s="433"/>
      <c r="B772" s="456"/>
      <c r="C772" s="433"/>
      <c r="D772" s="433"/>
      <c r="E772" s="460"/>
      <c r="F772" s="351"/>
      <c r="G772" s="456"/>
      <c r="H772" s="353"/>
      <c r="I772" s="433"/>
      <c r="J772" s="433"/>
    </row>
    <row r="773">
      <c r="A773" s="433"/>
      <c r="B773" s="456"/>
      <c r="C773" s="433"/>
      <c r="D773" s="433"/>
      <c r="E773" s="460"/>
      <c r="F773" s="351"/>
      <c r="G773" s="456"/>
      <c r="H773" s="353"/>
      <c r="I773" s="433"/>
      <c r="J773" s="433"/>
    </row>
    <row r="774">
      <c r="A774" s="433"/>
      <c r="B774" s="456"/>
      <c r="C774" s="433"/>
      <c r="D774" s="433"/>
      <c r="E774" s="460"/>
      <c r="F774" s="351"/>
      <c r="G774" s="456"/>
      <c r="H774" s="353"/>
      <c r="I774" s="433"/>
      <c r="J774" s="433"/>
    </row>
    <row r="775">
      <c r="A775" s="433"/>
      <c r="B775" s="456"/>
      <c r="C775" s="433"/>
      <c r="D775" s="433"/>
      <c r="E775" s="460"/>
      <c r="F775" s="351"/>
      <c r="G775" s="456"/>
      <c r="H775" s="353"/>
      <c r="I775" s="433"/>
      <c r="J775" s="433"/>
    </row>
    <row r="776">
      <c r="A776" s="433"/>
      <c r="B776" s="456"/>
      <c r="C776" s="433"/>
      <c r="D776" s="433"/>
      <c r="E776" s="460"/>
      <c r="F776" s="351"/>
      <c r="G776" s="456"/>
      <c r="H776" s="353"/>
      <c r="I776" s="433"/>
      <c r="J776" s="433"/>
    </row>
    <row r="777">
      <c r="A777" s="433"/>
      <c r="B777" s="456"/>
      <c r="C777" s="433"/>
      <c r="D777" s="433"/>
      <c r="E777" s="460"/>
      <c r="F777" s="351"/>
      <c r="G777" s="456"/>
      <c r="H777" s="353"/>
      <c r="I777" s="433"/>
      <c r="J777" s="433"/>
    </row>
    <row r="778">
      <c r="A778" s="433"/>
      <c r="B778" s="456"/>
      <c r="C778" s="433"/>
      <c r="D778" s="433"/>
      <c r="E778" s="460"/>
      <c r="F778" s="351"/>
      <c r="G778" s="456"/>
      <c r="H778" s="353"/>
      <c r="I778" s="433"/>
      <c r="J778" s="433"/>
    </row>
    <row r="779">
      <c r="A779" s="433"/>
      <c r="B779" s="456"/>
      <c r="C779" s="433"/>
      <c r="D779" s="433"/>
      <c r="E779" s="460"/>
      <c r="F779" s="351"/>
      <c r="G779" s="456"/>
      <c r="H779" s="353"/>
      <c r="I779" s="433"/>
      <c r="J779" s="433"/>
    </row>
    <row r="780">
      <c r="A780" s="433"/>
      <c r="B780" s="456"/>
      <c r="C780" s="433"/>
      <c r="D780" s="433"/>
      <c r="E780" s="460"/>
      <c r="F780" s="351"/>
      <c r="G780" s="456"/>
      <c r="H780" s="353"/>
      <c r="I780" s="433"/>
      <c r="J780" s="433"/>
    </row>
    <row r="781">
      <c r="A781" s="433"/>
      <c r="B781" s="456"/>
      <c r="C781" s="433"/>
      <c r="D781" s="433"/>
      <c r="E781" s="460"/>
      <c r="F781" s="351"/>
      <c r="G781" s="456"/>
      <c r="H781" s="353"/>
      <c r="I781" s="433"/>
      <c r="J781" s="433"/>
    </row>
    <row r="782">
      <c r="A782" s="433"/>
      <c r="B782" s="456"/>
      <c r="C782" s="433"/>
      <c r="D782" s="433"/>
      <c r="E782" s="460"/>
      <c r="F782" s="351"/>
      <c r="G782" s="456"/>
      <c r="H782" s="353"/>
      <c r="I782" s="433"/>
      <c r="J782" s="433"/>
    </row>
    <row r="783">
      <c r="A783" s="433"/>
      <c r="B783" s="456"/>
      <c r="C783" s="433"/>
      <c r="D783" s="433"/>
      <c r="E783" s="460"/>
      <c r="F783" s="351"/>
      <c r="G783" s="456"/>
      <c r="H783" s="353"/>
      <c r="I783" s="433"/>
      <c r="J783" s="433"/>
    </row>
    <row r="784">
      <c r="A784" s="433"/>
      <c r="B784" s="456"/>
      <c r="C784" s="433"/>
      <c r="D784" s="433"/>
      <c r="E784" s="460"/>
      <c r="F784" s="351"/>
      <c r="G784" s="456"/>
      <c r="H784" s="353"/>
      <c r="I784" s="433"/>
      <c r="J784" s="433"/>
    </row>
    <row r="785">
      <c r="A785" s="433"/>
      <c r="B785" s="456"/>
      <c r="C785" s="433"/>
      <c r="D785" s="433"/>
      <c r="E785" s="460"/>
      <c r="F785" s="351"/>
      <c r="G785" s="456"/>
      <c r="H785" s="353"/>
      <c r="I785" s="433"/>
      <c r="J785" s="433"/>
    </row>
    <row r="786">
      <c r="A786" s="433"/>
      <c r="B786" s="456"/>
      <c r="C786" s="433"/>
      <c r="D786" s="433"/>
      <c r="E786" s="460"/>
      <c r="F786" s="351"/>
      <c r="G786" s="456"/>
      <c r="H786" s="353"/>
      <c r="I786" s="433"/>
      <c r="J786" s="433"/>
    </row>
    <row r="787">
      <c r="A787" s="433"/>
      <c r="B787" s="456"/>
      <c r="C787" s="433"/>
      <c r="D787" s="433"/>
      <c r="E787" s="460"/>
      <c r="F787" s="351"/>
      <c r="G787" s="456"/>
      <c r="H787" s="353"/>
      <c r="I787" s="433"/>
      <c r="J787" s="433"/>
    </row>
    <row r="788">
      <c r="A788" s="433"/>
      <c r="B788" s="456"/>
      <c r="C788" s="433"/>
      <c r="D788" s="433"/>
      <c r="E788" s="460"/>
      <c r="F788" s="351"/>
      <c r="G788" s="456"/>
      <c r="H788" s="353"/>
      <c r="I788" s="433"/>
      <c r="J788" s="433"/>
    </row>
    <row r="789">
      <c r="A789" s="433"/>
      <c r="B789" s="456"/>
      <c r="C789" s="433"/>
      <c r="D789" s="433"/>
      <c r="E789" s="460"/>
      <c r="F789" s="351"/>
      <c r="G789" s="456"/>
      <c r="H789" s="353"/>
      <c r="I789" s="433"/>
      <c r="J789" s="433"/>
    </row>
    <row r="790">
      <c r="A790" s="433"/>
      <c r="B790" s="456"/>
      <c r="C790" s="433"/>
      <c r="D790" s="433"/>
      <c r="E790" s="460"/>
      <c r="F790" s="351"/>
      <c r="G790" s="456"/>
      <c r="H790" s="353"/>
      <c r="I790" s="433"/>
      <c r="J790" s="433"/>
    </row>
    <row r="791">
      <c r="A791" s="433"/>
      <c r="B791" s="456"/>
      <c r="C791" s="433"/>
      <c r="D791" s="433"/>
      <c r="E791" s="460"/>
      <c r="F791" s="351"/>
      <c r="G791" s="456"/>
      <c r="H791" s="353"/>
      <c r="I791" s="433"/>
      <c r="J791" s="433"/>
    </row>
    <row r="792">
      <c r="A792" s="433"/>
      <c r="B792" s="456"/>
      <c r="C792" s="433"/>
      <c r="D792" s="433"/>
      <c r="E792" s="460"/>
      <c r="F792" s="351"/>
      <c r="G792" s="456"/>
      <c r="H792" s="353"/>
      <c r="I792" s="433"/>
      <c r="J792" s="433"/>
    </row>
    <row r="793">
      <c r="A793" s="433"/>
      <c r="B793" s="456"/>
      <c r="C793" s="433"/>
      <c r="D793" s="433"/>
      <c r="E793" s="460"/>
      <c r="F793" s="351"/>
      <c r="G793" s="456"/>
      <c r="H793" s="353"/>
      <c r="I793" s="433"/>
      <c r="J793" s="433"/>
    </row>
    <row r="794">
      <c r="A794" s="433"/>
      <c r="B794" s="456"/>
      <c r="C794" s="433"/>
      <c r="D794" s="433"/>
      <c r="E794" s="460"/>
      <c r="F794" s="351"/>
      <c r="G794" s="456"/>
      <c r="H794" s="353"/>
      <c r="I794" s="433"/>
      <c r="J794" s="433"/>
    </row>
    <row r="795">
      <c r="A795" s="433"/>
      <c r="B795" s="456"/>
      <c r="C795" s="433"/>
      <c r="D795" s="433"/>
      <c r="E795" s="460"/>
      <c r="F795" s="351"/>
      <c r="G795" s="456"/>
      <c r="H795" s="353"/>
      <c r="I795" s="433"/>
      <c r="J795" s="433"/>
    </row>
    <row r="796">
      <c r="A796" s="433"/>
      <c r="B796" s="456"/>
      <c r="C796" s="433"/>
      <c r="D796" s="433"/>
      <c r="E796" s="460"/>
      <c r="F796" s="351"/>
      <c r="G796" s="456"/>
      <c r="H796" s="353"/>
      <c r="I796" s="433"/>
      <c r="J796" s="433"/>
    </row>
    <row r="797">
      <c r="A797" s="433"/>
      <c r="B797" s="456"/>
      <c r="C797" s="433"/>
      <c r="D797" s="433"/>
      <c r="E797" s="460"/>
      <c r="F797" s="351"/>
      <c r="G797" s="456"/>
      <c r="H797" s="353"/>
      <c r="I797" s="433"/>
      <c r="J797" s="433"/>
    </row>
    <row r="798">
      <c r="A798" s="433"/>
      <c r="B798" s="456"/>
      <c r="C798" s="433"/>
      <c r="D798" s="433"/>
      <c r="E798" s="460"/>
      <c r="F798" s="351"/>
      <c r="G798" s="456"/>
      <c r="H798" s="353"/>
      <c r="I798" s="433"/>
      <c r="J798" s="433"/>
    </row>
    <row r="799">
      <c r="A799" s="433"/>
      <c r="B799" s="456"/>
      <c r="C799" s="433"/>
      <c r="D799" s="433"/>
      <c r="E799" s="460"/>
      <c r="F799" s="351"/>
      <c r="G799" s="456"/>
      <c r="H799" s="353"/>
      <c r="I799" s="433"/>
      <c r="J799" s="433"/>
    </row>
    <row r="800">
      <c r="A800" s="433"/>
      <c r="B800" s="456"/>
      <c r="C800" s="433"/>
      <c r="D800" s="433"/>
      <c r="E800" s="460"/>
      <c r="F800" s="351"/>
      <c r="G800" s="456"/>
      <c r="H800" s="353"/>
      <c r="I800" s="433"/>
      <c r="J800" s="433"/>
    </row>
    <row r="801">
      <c r="A801" s="433"/>
      <c r="B801" s="456"/>
      <c r="C801" s="433"/>
      <c r="D801" s="433"/>
      <c r="E801" s="460"/>
      <c r="F801" s="351"/>
      <c r="G801" s="456"/>
      <c r="H801" s="353"/>
      <c r="I801" s="433"/>
      <c r="J801" s="433"/>
    </row>
    <row r="802">
      <c r="A802" s="433"/>
      <c r="B802" s="456"/>
      <c r="C802" s="433"/>
      <c r="D802" s="433"/>
      <c r="E802" s="460"/>
      <c r="F802" s="351"/>
      <c r="G802" s="456"/>
      <c r="H802" s="353"/>
      <c r="I802" s="433"/>
      <c r="J802" s="433"/>
    </row>
    <row r="803">
      <c r="A803" s="433"/>
      <c r="B803" s="456"/>
      <c r="C803" s="433"/>
      <c r="D803" s="433"/>
      <c r="E803" s="460"/>
      <c r="F803" s="351"/>
      <c r="G803" s="456"/>
      <c r="H803" s="353"/>
      <c r="I803" s="433"/>
      <c r="J803" s="433"/>
    </row>
    <row r="804">
      <c r="A804" s="433"/>
      <c r="B804" s="456"/>
      <c r="C804" s="433"/>
      <c r="D804" s="433"/>
      <c r="E804" s="460"/>
      <c r="F804" s="351"/>
      <c r="G804" s="456"/>
      <c r="H804" s="353"/>
      <c r="I804" s="433"/>
      <c r="J804" s="433"/>
    </row>
    <row r="805">
      <c r="A805" s="433"/>
      <c r="B805" s="456"/>
      <c r="C805" s="433"/>
      <c r="D805" s="433"/>
      <c r="E805" s="460"/>
      <c r="F805" s="351"/>
      <c r="G805" s="456"/>
      <c r="H805" s="353"/>
      <c r="I805" s="433"/>
      <c r="J805" s="433"/>
    </row>
    <row r="806">
      <c r="A806" s="433"/>
      <c r="B806" s="456"/>
      <c r="C806" s="433"/>
      <c r="D806" s="433"/>
      <c r="E806" s="460"/>
      <c r="F806" s="351"/>
      <c r="G806" s="456"/>
      <c r="H806" s="353"/>
      <c r="I806" s="433"/>
      <c r="J806" s="433"/>
    </row>
    <row r="807">
      <c r="A807" s="433"/>
      <c r="B807" s="456"/>
      <c r="C807" s="433"/>
      <c r="D807" s="433"/>
      <c r="E807" s="460"/>
      <c r="F807" s="351"/>
      <c r="G807" s="456"/>
      <c r="H807" s="353"/>
      <c r="I807" s="433"/>
      <c r="J807" s="433"/>
    </row>
    <row r="808">
      <c r="A808" s="433"/>
      <c r="B808" s="456"/>
      <c r="C808" s="433"/>
      <c r="D808" s="433"/>
      <c r="E808" s="460"/>
      <c r="F808" s="351"/>
      <c r="G808" s="456"/>
      <c r="H808" s="353"/>
      <c r="I808" s="433"/>
      <c r="J808" s="433"/>
    </row>
    <row r="809">
      <c r="A809" s="433"/>
      <c r="B809" s="456"/>
      <c r="C809" s="433"/>
      <c r="D809" s="433"/>
      <c r="E809" s="460"/>
      <c r="F809" s="351"/>
      <c r="G809" s="456"/>
      <c r="H809" s="353"/>
      <c r="I809" s="433"/>
      <c r="J809" s="433"/>
    </row>
    <row r="810">
      <c r="A810" s="433"/>
      <c r="B810" s="456"/>
      <c r="C810" s="433"/>
      <c r="D810" s="433"/>
      <c r="E810" s="460"/>
      <c r="F810" s="351"/>
      <c r="G810" s="456"/>
      <c r="H810" s="353"/>
      <c r="I810" s="433"/>
      <c r="J810" s="433"/>
    </row>
    <row r="811">
      <c r="A811" s="433"/>
      <c r="B811" s="456"/>
      <c r="C811" s="433"/>
      <c r="D811" s="433"/>
      <c r="E811" s="460"/>
      <c r="F811" s="351"/>
      <c r="G811" s="456"/>
      <c r="H811" s="353"/>
      <c r="I811" s="433"/>
      <c r="J811" s="433"/>
    </row>
    <row r="812">
      <c r="A812" s="433"/>
      <c r="B812" s="456"/>
      <c r="C812" s="433"/>
      <c r="D812" s="433"/>
      <c r="E812" s="460"/>
      <c r="F812" s="351"/>
      <c r="G812" s="456"/>
      <c r="H812" s="353"/>
      <c r="I812" s="433"/>
      <c r="J812" s="433"/>
    </row>
    <row r="813">
      <c r="A813" s="433"/>
      <c r="B813" s="456"/>
      <c r="C813" s="433"/>
      <c r="D813" s="433"/>
      <c r="E813" s="460"/>
      <c r="F813" s="351"/>
      <c r="G813" s="456"/>
      <c r="H813" s="353"/>
      <c r="I813" s="433"/>
      <c r="J813" s="433"/>
    </row>
    <row r="814">
      <c r="A814" s="433"/>
      <c r="B814" s="456"/>
      <c r="C814" s="433"/>
      <c r="D814" s="433"/>
      <c r="E814" s="460"/>
      <c r="F814" s="351"/>
      <c r="G814" s="456"/>
      <c r="H814" s="353"/>
      <c r="I814" s="433"/>
      <c r="J814" s="433"/>
    </row>
    <row r="815">
      <c r="A815" s="433"/>
      <c r="B815" s="456"/>
      <c r="C815" s="433"/>
      <c r="D815" s="433"/>
      <c r="E815" s="460"/>
      <c r="F815" s="351"/>
      <c r="G815" s="456"/>
      <c r="H815" s="353"/>
      <c r="I815" s="433"/>
      <c r="J815" s="433"/>
    </row>
    <row r="816">
      <c r="A816" s="433"/>
      <c r="B816" s="456"/>
      <c r="C816" s="433"/>
      <c r="D816" s="433"/>
      <c r="E816" s="460"/>
      <c r="F816" s="351"/>
      <c r="G816" s="456"/>
      <c r="H816" s="353"/>
      <c r="I816" s="433"/>
      <c r="J816" s="433"/>
    </row>
    <row r="817">
      <c r="A817" s="433"/>
      <c r="B817" s="456"/>
      <c r="C817" s="433"/>
      <c r="D817" s="433"/>
      <c r="E817" s="460"/>
      <c r="F817" s="351"/>
      <c r="G817" s="456"/>
      <c r="H817" s="353"/>
      <c r="I817" s="433"/>
      <c r="J817" s="433"/>
    </row>
    <row r="818">
      <c r="A818" s="433"/>
      <c r="B818" s="456"/>
      <c r="C818" s="433"/>
      <c r="D818" s="433"/>
      <c r="E818" s="460"/>
      <c r="F818" s="351"/>
      <c r="G818" s="456"/>
      <c r="H818" s="353"/>
      <c r="I818" s="433"/>
      <c r="J818" s="433"/>
    </row>
    <row r="819">
      <c r="A819" s="433"/>
      <c r="B819" s="456"/>
      <c r="C819" s="433"/>
      <c r="D819" s="433"/>
      <c r="E819" s="460"/>
      <c r="F819" s="351"/>
      <c r="G819" s="456"/>
      <c r="H819" s="353"/>
      <c r="I819" s="433"/>
      <c r="J819" s="433"/>
    </row>
    <row r="820">
      <c r="A820" s="433"/>
      <c r="B820" s="456"/>
      <c r="C820" s="433"/>
      <c r="D820" s="433"/>
      <c r="E820" s="460"/>
      <c r="F820" s="351"/>
      <c r="G820" s="456"/>
      <c r="H820" s="353"/>
      <c r="I820" s="433"/>
      <c r="J820" s="433"/>
    </row>
    <row r="821">
      <c r="A821" s="433"/>
      <c r="B821" s="456"/>
      <c r="C821" s="433"/>
      <c r="D821" s="433"/>
      <c r="E821" s="460"/>
      <c r="F821" s="351"/>
      <c r="G821" s="456"/>
      <c r="H821" s="353"/>
      <c r="I821" s="433"/>
      <c r="J821" s="433"/>
    </row>
    <row r="822">
      <c r="A822" s="433"/>
      <c r="B822" s="456"/>
      <c r="C822" s="433"/>
      <c r="D822" s="433"/>
      <c r="E822" s="460"/>
      <c r="F822" s="351"/>
      <c r="G822" s="456"/>
      <c r="H822" s="353"/>
      <c r="I822" s="433"/>
      <c r="J822" s="433"/>
    </row>
    <row r="823">
      <c r="A823" s="433"/>
      <c r="B823" s="456"/>
      <c r="C823" s="433"/>
      <c r="D823" s="433"/>
      <c r="E823" s="460"/>
      <c r="F823" s="351"/>
      <c r="G823" s="456"/>
      <c r="H823" s="353"/>
      <c r="I823" s="433"/>
      <c r="J823" s="433"/>
    </row>
    <row r="824">
      <c r="A824" s="433"/>
      <c r="B824" s="456"/>
      <c r="C824" s="433"/>
      <c r="D824" s="433"/>
      <c r="E824" s="460"/>
      <c r="F824" s="351"/>
      <c r="G824" s="456"/>
      <c r="H824" s="353"/>
      <c r="I824" s="433"/>
      <c r="J824" s="433"/>
    </row>
    <row r="825">
      <c r="A825" s="433"/>
      <c r="B825" s="456"/>
      <c r="C825" s="433"/>
      <c r="D825" s="433"/>
      <c r="E825" s="460"/>
      <c r="F825" s="351"/>
      <c r="G825" s="456"/>
      <c r="H825" s="353"/>
      <c r="I825" s="433"/>
      <c r="J825" s="433"/>
    </row>
    <row r="826">
      <c r="A826" s="433"/>
      <c r="B826" s="456"/>
      <c r="C826" s="433"/>
      <c r="D826" s="433"/>
      <c r="E826" s="460"/>
      <c r="F826" s="351"/>
      <c r="G826" s="456"/>
      <c r="H826" s="353"/>
      <c r="I826" s="433"/>
      <c r="J826" s="433"/>
    </row>
    <row r="827">
      <c r="A827" s="433"/>
      <c r="B827" s="456"/>
      <c r="C827" s="433"/>
      <c r="D827" s="433"/>
      <c r="E827" s="460"/>
      <c r="F827" s="351"/>
      <c r="G827" s="456"/>
      <c r="H827" s="353"/>
      <c r="I827" s="433"/>
      <c r="J827" s="433"/>
    </row>
    <row r="828">
      <c r="A828" s="433"/>
      <c r="B828" s="456"/>
      <c r="C828" s="433"/>
      <c r="D828" s="433"/>
      <c r="E828" s="460"/>
      <c r="F828" s="351"/>
      <c r="G828" s="456"/>
      <c r="H828" s="353"/>
      <c r="I828" s="433"/>
      <c r="J828" s="433"/>
    </row>
    <row r="829">
      <c r="A829" s="433"/>
      <c r="B829" s="456"/>
      <c r="C829" s="433"/>
      <c r="D829" s="433"/>
      <c r="E829" s="460"/>
      <c r="F829" s="351"/>
      <c r="G829" s="456"/>
      <c r="H829" s="353"/>
      <c r="I829" s="433"/>
      <c r="J829" s="433"/>
    </row>
    <row r="830">
      <c r="A830" s="433"/>
      <c r="B830" s="456"/>
      <c r="C830" s="433"/>
      <c r="D830" s="433"/>
      <c r="E830" s="460"/>
      <c r="F830" s="351"/>
      <c r="G830" s="456"/>
      <c r="H830" s="353"/>
      <c r="I830" s="433"/>
      <c r="J830" s="433"/>
    </row>
    <row r="831">
      <c r="A831" s="433"/>
      <c r="B831" s="456"/>
      <c r="C831" s="433"/>
      <c r="D831" s="433"/>
      <c r="E831" s="460"/>
      <c r="F831" s="351"/>
      <c r="G831" s="456"/>
      <c r="H831" s="353"/>
      <c r="I831" s="433"/>
      <c r="J831" s="433"/>
    </row>
    <row r="832">
      <c r="A832" s="433"/>
      <c r="B832" s="456"/>
      <c r="C832" s="433"/>
      <c r="D832" s="433"/>
      <c r="E832" s="460"/>
      <c r="F832" s="351"/>
      <c r="G832" s="456"/>
      <c r="H832" s="353"/>
      <c r="I832" s="433"/>
      <c r="J832" s="433"/>
    </row>
    <row r="833">
      <c r="A833" s="433"/>
      <c r="B833" s="456"/>
      <c r="C833" s="433"/>
      <c r="D833" s="433"/>
      <c r="E833" s="460"/>
      <c r="F833" s="351"/>
      <c r="G833" s="456"/>
      <c r="H833" s="353"/>
      <c r="I833" s="433"/>
      <c r="J833" s="433"/>
    </row>
    <row r="834">
      <c r="A834" s="433"/>
      <c r="B834" s="456"/>
      <c r="C834" s="433"/>
      <c r="D834" s="433"/>
      <c r="E834" s="460"/>
      <c r="F834" s="351"/>
      <c r="G834" s="456"/>
      <c r="H834" s="353"/>
      <c r="I834" s="433"/>
      <c r="J834" s="433"/>
    </row>
    <row r="835">
      <c r="A835" s="433"/>
      <c r="B835" s="456"/>
      <c r="C835" s="433"/>
      <c r="D835" s="433"/>
      <c r="E835" s="460"/>
      <c r="F835" s="351"/>
      <c r="G835" s="456"/>
      <c r="H835" s="353"/>
      <c r="I835" s="433"/>
      <c r="J835" s="433"/>
    </row>
    <row r="836">
      <c r="A836" s="433"/>
      <c r="B836" s="456"/>
      <c r="C836" s="433"/>
      <c r="D836" s="433"/>
      <c r="E836" s="460"/>
      <c r="F836" s="351"/>
      <c r="G836" s="456"/>
      <c r="H836" s="353"/>
      <c r="I836" s="433"/>
      <c r="J836" s="433"/>
    </row>
    <row r="837">
      <c r="A837" s="433"/>
      <c r="B837" s="456"/>
      <c r="C837" s="433"/>
      <c r="D837" s="433"/>
      <c r="E837" s="460"/>
      <c r="F837" s="351"/>
      <c r="G837" s="456"/>
      <c r="H837" s="353"/>
      <c r="I837" s="433"/>
      <c r="J837" s="433"/>
    </row>
    <row r="838">
      <c r="A838" s="433"/>
      <c r="B838" s="456"/>
      <c r="C838" s="433"/>
      <c r="D838" s="433"/>
      <c r="E838" s="460"/>
      <c r="F838" s="351"/>
      <c r="G838" s="456"/>
      <c r="H838" s="353"/>
      <c r="I838" s="433"/>
      <c r="J838" s="433"/>
    </row>
    <row r="839">
      <c r="A839" s="433"/>
      <c r="B839" s="456"/>
      <c r="C839" s="433"/>
      <c r="D839" s="433"/>
      <c r="E839" s="460"/>
      <c r="F839" s="351"/>
      <c r="G839" s="456"/>
      <c r="H839" s="353"/>
      <c r="I839" s="433"/>
      <c r="J839" s="433"/>
    </row>
    <row r="840">
      <c r="A840" s="433"/>
      <c r="B840" s="456"/>
      <c r="C840" s="433"/>
      <c r="D840" s="433"/>
      <c r="E840" s="460"/>
      <c r="F840" s="351"/>
      <c r="G840" s="456"/>
      <c r="H840" s="353"/>
      <c r="I840" s="433"/>
      <c r="J840" s="433"/>
    </row>
    <row r="841">
      <c r="A841" s="433"/>
      <c r="B841" s="456"/>
      <c r="C841" s="433"/>
      <c r="D841" s="433"/>
      <c r="E841" s="460"/>
      <c r="F841" s="351"/>
      <c r="G841" s="456"/>
      <c r="H841" s="353"/>
      <c r="I841" s="433"/>
      <c r="J841" s="433"/>
    </row>
    <row r="842">
      <c r="A842" s="433"/>
      <c r="B842" s="456"/>
      <c r="C842" s="433"/>
      <c r="D842" s="433"/>
      <c r="E842" s="460"/>
      <c r="F842" s="351"/>
      <c r="G842" s="456"/>
      <c r="H842" s="353"/>
      <c r="I842" s="433"/>
      <c r="J842" s="433"/>
    </row>
    <row r="843">
      <c r="A843" s="433"/>
      <c r="B843" s="456"/>
      <c r="C843" s="433"/>
      <c r="D843" s="433"/>
      <c r="E843" s="460"/>
      <c r="F843" s="351"/>
      <c r="G843" s="456"/>
      <c r="H843" s="353"/>
      <c r="I843" s="433"/>
      <c r="J843" s="433"/>
    </row>
    <row r="844">
      <c r="A844" s="433"/>
      <c r="B844" s="456"/>
      <c r="C844" s="433"/>
      <c r="D844" s="433"/>
      <c r="E844" s="460"/>
      <c r="F844" s="351"/>
      <c r="G844" s="456"/>
      <c r="H844" s="353"/>
      <c r="I844" s="433"/>
      <c r="J844" s="433"/>
    </row>
    <row r="845">
      <c r="A845" s="433"/>
      <c r="B845" s="456"/>
      <c r="C845" s="433"/>
      <c r="D845" s="433"/>
      <c r="E845" s="460"/>
      <c r="F845" s="351"/>
      <c r="G845" s="456"/>
      <c r="H845" s="353"/>
      <c r="I845" s="433"/>
      <c r="J845" s="433"/>
    </row>
    <row r="846">
      <c r="A846" s="433"/>
      <c r="B846" s="456"/>
      <c r="C846" s="433"/>
      <c r="D846" s="433"/>
      <c r="E846" s="460"/>
      <c r="F846" s="351"/>
      <c r="G846" s="456"/>
      <c r="H846" s="353"/>
      <c r="I846" s="433"/>
      <c r="J846" s="433"/>
    </row>
    <row r="847">
      <c r="A847" s="433"/>
      <c r="B847" s="456"/>
      <c r="C847" s="433"/>
      <c r="D847" s="433"/>
      <c r="E847" s="460"/>
      <c r="F847" s="351"/>
      <c r="G847" s="456"/>
      <c r="H847" s="353"/>
      <c r="I847" s="433"/>
      <c r="J847" s="433"/>
    </row>
    <row r="848">
      <c r="A848" s="433"/>
      <c r="B848" s="456"/>
      <c r="C848" s="433"/>
      <c r="D848" s="433"/>
      <c r="E848" s="460"/>
      <c r="F848" s="351"/>
      <c r="G848" s="456"/>
      <c r="H848" s="353"/>
      <c r="I848" s="433"/>
      <c r="J848" s="433"/>
    </row>
    <row r="849">
      <c r="A849" s="433"/>
      <c r="B849" s="456"/>
      <c r="C849" s="433"/>
      <c r="D849" s="433"/>
      <c r="E849" s="460"/>
      <c r="F849" s="351"/>
      <c r="G849" s="456"/>
      <c r="H849" s="353"/>
      <c r="I849" s="433"/>
      <c r="J849" s="433"/>
    </row>
    <row r="850">
      <c r="A850" s="433"/>
      <c r="B850" s="456"/>
      <c r="C850" s="433"/>
      <c r="D850" s="433"/>
      <c r="E850" s="460"/>
      <c r="F850" s="351"/>
      <c r="G850" s="456"/>
      <c r="H850" s="353"/>
      <c r="I850" s="433"/>
      <c r="J850" s="433"/>
    </row>
    <row r="851">
      <c r="A851" s="433"/>
      <c r="B851" s="456"/>
      <c r="C851" s="433"/>
      <c r="D851" s="433"/>
      <c r="E851" s="460"/>
      <c r="F851" s="351"/>
      <c r="G851" s="456"/>
      <c r="H851" s="353"/>
      <c r="I851" s="433"/>
      <c r="J851" s="433"/>
    </row>
    <row r="852">
      <c r="A852" s="433"/>
      <c r="B852" s="456"/>
      <c r="C852" s="433"/>
      <c r="D852" s="433"/>
      <c r="E852" s="460"/>
      <c r="F852" s="351"/>
      <c r="G852" s="456"/>
      <c r="H852" s="353"/>
      <c r="I852" s="433"/>
      <c r="J852" s="433"/>
    </row>
    <row r="853">
      <c r="A853" s="433"/>
      <c r="B853" s="456"/>
      <c r="C853" s="433"/>
      <c r="D853" s="433"/>
      <c r="E853" s="460"/>
      <c r="F853" s="351"/>
      <c r="G853" s="456"/>
      <c r="H853" s="353"/>
      <c r="I853" s="433"/>
      <c r="J853" s="433"/>
    </row>
    <row r="854">
      <c r="A854" s="433"/>
      <c r="B854" s="456"/>
      <c r="C854" s="433"/>
      <c r="D854" s="433"/>
      <c r="E854" s="460"/>
      <c r="F854" s="351"/>
      <c r="G854" s="456"/>
      <c r="H854" s="353"/>
      <c r="I854" s="433"/>
      <c r="J854" s="433"/>
    </row>
    <row r="855">
      <c r="A855" s="433"/>
      <c r="B855" s="456"/>
      <c r="C855" s="433"/>
      <c r="D855" s="433"/>
      <c r="E855" s="460"/>
      <c r="F855" s="351"/>
      <c r="G855" s="456"/>
      <c r="H855" s="353"/>
      <c r="I855" s="433"/>
      <c r="J855" s="433"/>
    </row>
    <row r="856">
      <c r="A856" s="433"/>
      <c r="B856" s="456"/>
      <c r="C856" s="433"/>
      <c r="D856" s="433"/>
      <c r="E856" s="460"/>
      <c r="F856" s="351"/>
      <c r="G856" s="456"/>
      <c r="H856" s="353"/>
      <c r="I856" s="433"/>
      <c r="J856" s="433"/>
    </row>
    <row r="857">
      <c r="A857" s="433"/>
      <c r="B857" s="456"/>
      <c r="C857" s="433"/>
      <c r="D857" s="433"/>
      <c r="E857" s="460"/>
      <c r="F857" s="351"/>
      <c r="G857" s="456"/>
      <c r="H857" s="353"/>
      <c r="I857" s="433"/>
      <c r="J857" s="433"/>
    </row>
    <row r="858">
      <c r="A858" s="433"/>
      <c r="B858" s="456"/>
      <c r="C858" s="433"/>
      <c r="D858" s="433"/>
      <c r="E858" s="460"/>
      <c r="F858" s="351"/>
      <c r="G858" s="456"/>
      <c r="H858" s="353"/>
      <c r="I858" s="433"/>
      <c r="J858" s="433"/>
    </row>
    <row r="859">
      <c r="A859" s="433"/>
      <c r="B859" s="456"/>
      <c r="C859" s="433"/>
      <c r="D859" s="433"/>
      <c r="E859" s="460"/>
      <c r="F859" s="351"/>
      <c r="G859" s="456"/>
      <c r="H859" s="353"/>
      <c r="I859" s="433"/>
      <c r="J859" s="433"/>
    </row>
    <row r="860">
      <c r="A860" s="433"/>
      <c r="B860" s="456"/>
      <c r="C860" s="433"/>
      <c r="D860" s="433"/>
      <c r="E860" s="460"/>
      <c r="F860" s="351"/>
      <c r="G860" s="456"/>
      <c r="H860" s="353"/>
      <c r="I860" s="433"/>
      <c r="J860" s="433"/>
    </row>
    <row r="861">
      <c r="A861" s="433"/>
      <c r="B861" s="456"/>
      <c r="C861" s="433"/>
      <c r="D861" s="433"/>
      <c r="E861" s="460"/>
      <c r="F861" s="351"/>
      <c r="G861" s="456"/>
      <c r="H861" s="353"/>
      <c r="I861" s="433"/>
      <c r="J861" s="433"/>
    </row>
    <row r="862">
      <c r="A862" s="433"/>
      <c r="B862" s="456"/>
      <c r="C862" s="433"/>
      <c r="D862" s="433"/>
      <c r="E862" s="460"/>
      <c r="F862" s="351"/>
      <c r="G862" s="456"/>
      <c r="H862" s="353"/>
      <c r="I862" s="433"/>
      <c r="J862" s="433"/>
    </row>
    <row r="863">
      <c r="A863" s="433"/>
      <c r="B863" s="456"/>
      <c r="C863" s="433"/>
      <c r="D863" s="433"/>
      <c r="E863" s="460"/>
      <c r="F863" s="351"/>
      <c r="G863" s="456"/>
      <c r="H863" s="353"/>
      <c r="I863" s="433"/>
      <c r="J863" s="433"/>
    </row>
    <row r="864">
      <c r="A864" s="433"/>
      <c r="B864" s="456"/>
      <c r="C864" s="433"/>
      <c r="D864" s="433"/>
      <c r="E864" s="460"/>
      <c r="F864" s="351"/>
      <c r="G864" s="456"/>
      <c r="H864" s="353"/>
      <c r="I864" s="433"/>
      <c r="J864" s="433"/>
    </row>
    <row r="865">
      <c r="A865" s="433"/>
      <c r="B865" s="456"/>
      <c r="C865" s="433"/>
      <c r="D865" s="433"/>
      <c r="E865" s="460"/>
      <c r="F865" s="351"/>
      <c r="G865" s="456"/>
      <c r="H865" s="353"/>
      <c r="I865" s="433"/>
      <c r="J865" s="433"/>
    </row>
    <row r="866">
      <c r="A866" s="433"/>
      <c r="B866" s="456"/>
      <c r="C866" s="433"/>
      <c r="D866" s="433"/>
      <c r="E866" s="460"/>
      <c r="F866" s="351"/>
      <c r="G866" s="456"/>
      <c r="H866" s="353"/>
      <c r="I866" s="433"/>
      <c r="J866" s="433"/>
    </row>
    <row r="867">
      <c r="A867" s="433"/>
      <c r="B867" s="456"/>
      <c r="C867" s="433"/>
      <c r="D867" s="433"/>
      <c r="E867" s="460"/>
      <c r="F867" s="351"/>
      <c r="G867" s="456"/>
      <c r="H867" s="353"/>
      <c r="I867" s="433"/>
      <c r="J867" s="433"/>
    </row>
    <row r="868">
      <c r="A868" s="433"/>
      <c r="B868" s="456"/>
      <c r="C868" s="433"/>
      <c r="D868" s="433"/>
      <c r="E868" s="460"/>
      <c r="F868" s="351"/>
      <c r="G868" s="456"/>
      <c r="H868" s="353"/>
      <c r="I868" s="433"/>
      <c r="J868" s="433"/>
    </row>
    <row r="869">
      <c r="A869" s="433"/>
      <c r="B869" s="456"/>
      <c r="C869" s="433"/>
      <c r="D869" s="433"/>
      <c r="E869" s="460"/>
      <c r="F869" s="351"/>
      <c r="G869" s="456"/>
      <c r="H869" s="353"/>
      <c r="I869" s="433"/>
      <c r="J869" s="433"/>
    </row>
    <row r="870">
      <c r="A870" s="433"/>
      <c r="B870" s="456"/>
      <c r="C870" s="433"/>
      <c r="D870" s="433"/>
      <c r="E870" s="460"/>
      <c r="F870" s="351"/>
      <c r="G870" s="456"/>
      <c r="H870" s="353"/>
      <c r="I870" s="433"/>
      <c r="J870" s="433"/>
    </row>
    <row r="871">
      <c r="A871" s="433"/>
      <c r="B871" s="456"/>
      <c r="C871" s="433"/>
      <c r="D871" s="433"/>
      <c r="E871" s="460"/>
      <c r="F871" s="351"/>
      <c r="G871" s="456"/>
      <c r="H871" s="353"/>
      <c r="I871" s="433"/>
      <c r="J871" s="433"/>
    </row>
    <row r="872">
      <c r="A872" s="433"/>
      <c r="B872" s="456"/>
      <c r="C872" s="433"/>
      <c r="D872" s="433"/>
      <c r="E872" s="460"/>
      <c r="F872" s="351"/>
      <c r="G872" s="456"/>
      <c r="H872" s="353"/>
      <c r="I872" s="433"/>
      <c r="J872" s="433"/>
    </row>
    <row r="873">
      <c r="A873" s="433"/>
      <c r="B873" s="456"/>
      <c r="C873" s="433"/>
      <c r="D873" s="433"/>
      <c r="E873" s="460"/>
      <c r="F873" s="351"/>
      <c r="G873" s="456"/>
      <c r="H873" s="353"/>
      <c r="I873" s="433"/>
      <c r="J873" s="433"/>
    </row>
    <row r="874">
      <c r="A874" s="433"/>
      <c r="B874" s="456"/>
      <c r="C874" s="433"/>
      <c r="D874" s="433"/>
      <c r="E874" s="460"/>
      <c r="F874" s="351"/>
      <c r="G874" s="456"/>
      <c r="H874" s="353"/>
      <c r="I874" s="433"/>
      <c r="J874" s="433"/>
    </row>
    <row r="875">
      <c r="A875" s="433"/>
      <c r="B875" s="456"/>
      <c r="C875" s="433"/>
      <c r="D875" s="433"/>
      <c r="E875" s="460"/>
      <c r="F875" s="351"/>
      <c r="G875" s="456"/>
      <c r="H875" s="353"/>
      <c r="I875" s="433"/>
      <c r="J875" s="433"/>
    </row>
    <row r="876">
      <c r="A876" s="433"/>
      <c r="B876" s="456"/>
      <c r="C876" s="433"/>
      <c r="D876" s="433"/>
      <c r="E876" s="460"/>
      <c r="F876" s="351"/>
      <c r="G876" s="456"/>
      <c r="H876" s="353"/>
      <c r="I876" s="433"/>
      <c r="J876" s="433"/>
    </row>
    <row r="877">
      <c r="A877" s="433"/>
      <c r="B877" s="456"/>
      <c r="C877" s="433"/>
      <c r="D877" s="433"/>
      <c r="E877" s="460"/>
      <c r="F877" s="351"/>
      <c r="G877" s="456"/>
      <c r="H877" s="353"/>
      <c r="I877" s="433"/>
      <c r="J877" s="433"/>
    </row>
    <row r="878">
      <c r="A878" s="433"/>
      <c r="B878" s="456"/>
      <c r="C878" s="433"/>
      <c r="D878" s="433"/>
      <c r="E878" s="460"/>
      <c r="F878" s="351"/>
      <c r="G878" s="456"/>
      <c r="H878" s="353"/>
      <c r="I878" s="433"/>
      <c r="J878" s="433"/>
    </row>
    <row r="879">
      <c r="A879" s="433"/>
      <c r="B879" s="456"/>
      <c r="C879" s="433"/>
      <c r="D879" s="433"/>
      <c r="E879" s="460"/>
      <c r="F879" s="351"/>
      <c r="G879" s="456"/>
      <c r="H879" s="353"/>
      <c r="I879" s="433"/>
      <c r="J879" s="433"/>
    </row>
    <row r="880">
      <c r="A880" s="433"/>
      <c r="B880" s="456"/>
      <c r="C880" s="433"/>
      <c r="D880" s="433"/>
      <c r="E880" s="460"/>
      <c r="F880" s="351"/>
      <c r="G880" s="456"/>
      <c r="H880" s="353"/>
      <c r="I880" s="433"/>
      <c r="J880" s="433"/>
    </row>
    <row r="881">
      <c r="A881" s="433"/>
      <c r="B881" s="456"/>
      <c r="C881" s="433"/>
      <c r="D881" s="433"/>
      <c r="E881" s="460"/>
      <c r="F881" s="351"/>
      <c r="G881" s="456"/>
      <c r="H881" s="353"/>
      <c r="I881" s="433"/>
      <c r="J881" s="433"/>
    </row>
    <row r="882">
      <c r="A882" s="433"/>
      <c r="B882" s="456"/>
      <c r="C882" s="433"/>
      <c r="D882" s="433"/>
      <c r="E882" s="460"/>
      <c r="F882" s="351"/>
      <c r="G882" s="456"/>
      <c r="H882" s="353"/>
      <c r="I882" s="433"/>
      <c r="J882" s="433"/>
    </row>
    <row r="883">
      <c r="A883" s="433"/>
      <c r="B883" s="456"/>
      <c r="C883" s="433"/>
      <c r="D883" s="433"/>
      <c r="E883" s="460"/>
      <c r="F883" s="351"/>
      <c r="G883" s="456"/>
      <c r="H883" s="353"/>
      <c r="I883" s="433"/>
      <c r="J883" s="433"/>
    </row>
    <row r="884">
      <c r="A884" s="433"/>
      <c r="B884" s="456"/>
      <c r="C884" s="433"/>
      <c r="D884" s="433"/>
      <c r="E884" s="460"/>
      <c r="F884" s="351"/>
      <c r="G884" s="456"/>
      <c r="H884" s="353"/>
      <c r="I884" s="433"/>
      <c r="J884" s="433"/>
    </row>
    <row r="885">
      <c r="A885" s="433"/>
      <c r="B885" s="456"/>
      <c r="C885" s="433"/>
      <c r="D885" s="433"/>
      <c r="E885" s="460"/>
      <c r="F885" s="351"/>
      <c r="G885" s="456"/>
      <c r="H885" s="353"/>
      <c r="I885" s="433"/>
      <c r="J885" s="433"/>
    </row>
    <row r="886">
      <c r="A886" s="433"/>
      <c r="B886" s="456"/>
      <c r="C886" s="433"/>
      <c r="D886" s="433"/>
      <c r="E886" s="460"/>
      <c r="F886" s="351"/>
      <c r="G886" s="456"/>
      <c r="H886" s="353"/>
      <c r="I886" s="433"/>
      <c r="J886" s="433"/>
    </row>
    <row r="887">
      <c r="A887" s="433"/>
      <c r="B887" s="456"/>
      <c r="C887" s="433"/>
      <c r="D887" s="433"/>
      <c r="E887" s="460"/>
      <c r="F887" s="351"/>
      <c r="G887" s="456"/>
      <c r="H887" s="353"/>
      <c r="I887" s="433"/>
      <c r="J887" s="433"/>
    </row>
    <row r="888">
      <c r="A888" s="433"/>
      <c r="B888" s="456"/>
      <c r="C888" s="433"/>
      <c r="D888" s="433"/>
      <c r="E888" s="460"/>
      <c r="F888" s="351"/>
      <c r="G888" s="456"/>
      <c r="H888" s="353"/>
      <c r="I888" s="433"/>
      <c r="J888" s="433"/>
    </row>
    <row r="889">
      <c r="A889" s="433"/>
      <c r="B889" s="456"/>
      <c r="C889" s="433"/>
      <c r="D889" s="433"/>
      <c r="E889" s="460"/>
      <c r="F889" s="351"/>
      <c r="G889" s="456"/>
      <c r="H889" s="353"/>
      <c r="I889" s="433"/>
      <c r="J889" s="433"/>
    </row>
    <row r="890">
      <c r="A890" s="433"/>
      <c r="B890" s="456"/>
      <c r="C890" s="433"/>
      <c r="D890" s="433"/>
      <c r="E890" s="460"/>
      <c r="F890" s="351"/>
      <c r="G890" s="456"/>
      <c r="H890" s="353"/>
      <c r="I890" s="433"/>
      <c r="J890" s="433"/>
    </row>
    <row r="891">
      <c r="A891" s="433"/>
      <c r="B891" s="456"/>
      <c r="C891" s="433"/>
      <c r="D891" s="433"/>
      <c r="E891" s="460"/>
      <c r="F891" s="351"/>
      <c r="G891" s="456"/>
      <c r="H891" s="353"/>
      <c r="I891" s="433"/>
      <c r="J891" s="433"/>
    </row>
    <row r="892">
      <c r="A892" s="433"/>
      <c r="B892" s="456"/>
      <c r="C892" s="433"/>
      <c r="D892" s="433"/>
      <c r="E892" s="460"/>
      <c r="F892" s="351"/>
      <c r="G892" s="456"/>
      <c r="H892" s="353"/>
      <c r="I892" s="433"/>
      <c r="J892" s="433"/>
    </row>
    <row r="893">
      <c r="A893" s="433"/>
      <c r="B893" s="456"/>
      <c r="C893" s="433"/>
      <c r="D893" s="433"/>
      <c r="E893" s="460"/>
      <c r="F893" s="351"/>
      <c r="G893" s="456"/>
      <c r="H893" s="353"/>
      <c r="I893" s="433"/>
      <c r="J893" s="433"/>
    </row>
    <row r="894">
      <c r="A894" s="433"/>
      <c r="B894" s="456"/>
      <c r="C894" s="433"/>
      <c r="D894" s="433"/>
      <c r="E894" s="460"/>
      <c r="F894" s="351"/>
      <c r="G894" s="456"/>
      <c r="H894" s="353"/>
      <c r="I894" s="433"/>
      <c r="J894" s="433"/>
    </row>
    <row r="895">
      <c r="A895" s="433"/>
      <c r="B895" s="456"/>
      <c r="C895" s="433"/>
      <c r="D895" s="433"/>
      <c r="E895" s="460"/>
      <c r="F895" s="351"/>
      <c r="G895" s="456"/>
      <c r="H895" s="353"/>
      <c r="I895" s="433"/>
      <c r="J895" s="433"/>
    </row>
    <row r="896">
      <c r="A896" s="433"/>
      <c r="B896" s="456"/>
      <c r="C896" s="433"/>
      <c r="D896" s="433"/>
      <c r="E896" s="460"/>
      <c r="F896" s="351"/>
      <c r="G896" s="456"/>
      <c r="H896" s="353"/>
      <c r="I896" s="433"/>
      <c r="J896" s="433"/>
    </row>
    <row r="897">
      <c r="A897" s="433"/>
      <c r="B897" s="456"/>
      <c r="C897" s="433"/>
      <c r="D897" s="433"/>
      <c r="E897" s="460"/>
      <c r="F897" s="351"/>
      <c r="G897" s="456"/>
      <c r="H897" s="353"/>
      <c r="I897" s="433"/>
      <c r="J897" s="433"/>
    </row>
    <row r="898">
      <c r="A898" s="433"/>
      <c r="B898" s="456"/>
      <c r="C898" s="433"/>
      <c r="D898" s="433"/>
      <c r="E898" s="460"/>
      <c r="F898" s="351"/>
      <c r="G898" s="456"/>
      <c r="H898" s="353"/>
      <c r="I898" s="433"/>
      <c r="J898" s="433"/>
    </row>
    <row r="899">
      <c r="A899" s="433"/>
      <c r="B899" s="456"/>
      <c r="C899" s="433"/>
      <c r="D899" s="433"/>
      <c r="E899" s="460"/>
      <c r="F899" s="351"/>
      <c r="G899" s="456"/>
      <c r="H899" s="353"/>
      <c r="I899" s="433"/>
      <c r="J899" s="433"/>
    </row>
    <row r="900">
      <c r="A900" s="433"/>
      <c r="B900" s="456"/>
      <c r="C900" s="433"/>
      <c r="D900" s="433"/>
      <c r="E900" s="460"/>
      <c r="F900" s="351"/>
      <c r="G900" s="456"/>
      <c r="H900" s="353"/>
      <c r="I900" s="433"/>
      <c r="J900" s="433"/>
    </row>
    <row r="901">
      <c r="A901" s="433"/>
      <c r="B901" s="456"/>
      <c r="C901" s="433"/>
      <c r="D901" s="433"/>
      <c r="E901" s="460"/>
      <c r="F901" s="351"/>
      <c r="G901" s="456"/>
      <c r="H901" s="353"/>
      <c r="I901" s="433"/>
      <c r="J901" s="433"/>
    </row>
    <row r="902">
      <c r="A902" s="433"/>
      <c r="B902" s="456"/>
      <c r="C902" s="433"/>
      <c r="D902" s="433"/>
      <c r="E902" s="460"/>
      <c r="F902" s="351"/>
      <c r="G902" s="456"/>
      <c r="H902" s="353"/>
      <c r="I902" s="433"/>
      <c r="J902" s="433"/>
    </row>
    <row r="903">
      <c r="A903" s="433"/>
      <c r="B903" s="456"/>
      <c r="C903" s="433"/>
      <c r="D903" s="433"/>
      <c r="E903" s="460"/>
      <c r="F903" s="351"/>
      <c r="G903" s="456"/>
      <c r="H903" s="353"/>
      <c r="I903" s="433"/>
      <c r="J903" s="433"/>
    </row>
    <row r="904">
      <c r="A904" s="433"/>
      <c r="B904" s="456"/>
      <c r="C904" s="433"/>
      <c r="D904" s="433"/>
      <c r="E904" s="460"/>
      <c r="F904" s="351"/>
      <c r="G904" s="456"/>
      <c r="H904" s="353"/>
      <c r="I904" s="433"/>
      <c r="J904" s="433"/>
    </row>
    <row r="905">
      <c r="A905" s="433"/>
      <c r="B905" s="456"/>
      <c r="C905" s="433"/>
      <c r="D905" s="433"/>
      <c r="E905" s="460"/>
      <c r="F905" s="351"/>
      <c r="G905" s="456"/>
      <c r="H905" s="353"/>
      <c r="I905" s="433"/>
      <c r="J905" s="433"/>
    </row>
    <row r="906">
      <c r="A906" s="433"/>
      <c r="B906" s="456"/>
      <c r="C906" s="433"/>
      <c r="D906" s="433"/>
      <c r="E906" s="460"/>
      <c r="F906" s="351"/>
      <c r="G906" s="456"/>
      <c r="H906" s="353"/>
      <c r="I906" s="433"/>
      <c r="J906" s="433"/>
    </row>
    <row r="907">
      <c r="A907" s="433"/>
      <c r="B907" s="456"/>
      <c r="C907" s="433"/>
      <c r="D907" s="433"/>
      <c r="E907" s="460"/>
      <c r="F907" s="351"/>
      <c r="G907" s="456"/>
      <c r="H907" s="353"/>
      <c r="I907" s="433"/>
      <c r="J907" s="433"/>
    </row>
    <row r="908">
      <c r="A908" s="433"/>
      <c r="B908" s="456"/>
      <c r="C908" s="433"/>
      <c r="D908" s="433"/>
      <c r="E908" s="460"/>
      <c r="F908" s="351"/>
      <c r="G908" s="456"/>
      <c r="H908" s="353"/>
      <c r="I908" s="433"/>
      <c r="J908" s="433"/>
    </row>
    <row r="909">
      <c r="A909" s="433"/>
      <c r="B909" s="456"/>
      <c r="C909" s="433"/>
      <c r="D909" s="433"/>
      <c r="E909" s="460"/>
      <c r="F909" s="351"/>
      <c r="G909" s="456"/>
      <c r="H909" s="353"/>
      <c r="I909" s="433"/>
      <c r="J909" s="433"/>
    </row>
    <row r="910">
      <c r="A910" s="433"/>
      <c r="B910" s="456"/>
      <c r="C910" s="433"/>
      <c r="D910" s="433"/>
      <c r="E910" s="460"/>
      <c r="F910" s="351"/>
      <c r="G910" s="456"/>
      <c r="H910" s="353"/>
      <c r="I910" s="433"/>
      <c r="J910" s="433"/>
    </row>
    <row r="911">
      <c r="A911" s="433"/>
      <c r="B911" s="456"/>
      <c r="C911" s="433"/>
      <c r="D911" s="433"/>
      <c r="E911" s="460"/>
      <c r="F911" s="351"/>
      <c r="G911" s="456"/>
      <c r="H911" s="353"/>
      <c r="I911" s="433"/>
      <c r="J911" s="433"/>
    </row>
    <row r="912">
      <c r="A912" s="433"/>
      <c r="B912" s="456"/>
      <c r="C912" s="433"/>
      <c r="D912" s="433"/>
      <c r="E912" s="460"/>
      <c r="F912" s="351"/>
      <c r="G912" s="456"/>
      <c r="H912" s="353"/>
      <c r="I912" s="433"/>
      <c r="J912" s="433"/>
    </row>
    <row r="913">
      <c r="A913" s="433"/>
      <c r="B913" s="456"/>
      <c r="C913" s="433"/>
      <c r="D913" s="433"/>
      <c r="E913" s="460"/>
      <c r="F913" s="351"/>
      <c r="G913" s="456"/>
      <c r="H913" s="353"/>
      <c r="I913" s="433"/>
      <c r="J913" s="433"/>
    </row>
    <row r="914">
      <c r="A914" s="433"/>
      <c r="B914" s="456"/>
      <c r="C914" s="433"/>
      <c r="D914" s="433"/>
      <c r="E914" s="460"/>
      <c r="F914" s="351"/>
      <c r="G914" s="456"/>
      <c r="H914" s="353"/>
      <c r="I914" s="433"/>
      <c r="J914" s="433"/>
    </row>
    <row r="915">
      <c r="A915" s="433"/>
      <c r="B915" s="456"/>
      <c r="C915" s="433"/>
      <c r="D915" s="433"/>
      <c r="E915" s="460"/>
      <c r="F915" s="351"/>
      <c r="G915" s="456"/>
      <c r="H915" s="353"/>
      <c r="I915" s="433"/>
      <c r="J915" s="433"/>
    </row>
    <row r="916">
      <c r="A916" s="433"/>
      <c r="B916" s="456"/>
      <c r="C916" s="433"/>
      <c r="D916" s="433"/>
      <c r="E916" s="460"/>
      <c r="F916" s="351"/>
      <c r="G916" s="456"/>
      <c r="H916" s="353"/>
      <c r="I916" s="433"/>
      <c r="J916" s="433"/>
    </row>
    <row r="917">
      <c r="A917" s="433"/>
      <c r="B917" s="456"/>
      <c r="C917" s="433"/>
      <c r="D917" s="433"/>
      <c r="E917" s="460"/>
      <c r="F917" s="351"/>
      <c r="G917" s="456"/>
      <c r="H917" s="353"/>
      <c r="I917" s="433"/>
      <c r="J917" s="433"/>
    </row>
    <row r="918">
      <c r="A918" s="433"/>
      <c r="B918" s="456"/>
      <c r="C918" s="433"/>
      <c r="D918" s="433"/>
      <c r="E918" s="460"/>
      <c r="F918" s="351"/>
      <c r="G918" s="456"/>
      <c r="H918" s="353"/>
      <c r="I918" s="433"/>
      <c r="J918" s="433"/>
    </row>
    <row r="919">
      <c r="A919" s="433"/>
      <c r="B919" s="456"/>
      <c r="C919" s="433"/>
      <c r="D919" s="433"/>
      <c r="E919" s="460"/>
      <c r="F919" s="351"/>
      <c r="G919" s="456"/>
      <c r="H919" s="353"/>
      <c r="I919" s="433"/>
      <c r="J919" s="433"/>
    </row>
    <row r="920">
      <c r="A920" s="433"/>
      <c r="B920" s="456"/>
      <c r="C920" s="433"/>
      <c r="D920" s="433"/>
      <c r="E920" s="460"/>
      <c r="F920" s="351"/>
      <c r="G920" s="456"/>
      <c r="H920" s="353"/>
      <c r="I920" s="433"/>
      <c r="J920" s="433"/>
    </row>
    <row r="921">
      <c r="A921" s="433"/>
      <c r="B921" s="456"/>
      <c r="C921" s="433"/>
      <c r="D921" s="433"/>
      <c r="E921" s="460"/>
      <c r="F921" s="351"/>
      <c r="G921" s="456"/>
      <c r="H921" s="353"/>
      <c r="I921" s="433"/>
      <c r="J921" s="433"/>
    </row>
    <row r="922">
      <c r="A922" s="433"/>
      <c r="B922" s="456"/>
      <c r="C922" s="433"/>
      <c r="D922" s="433"/>
      <c r="E922" s="460"/>
      <c r="F922" s="351"/>
      <c r="G922" s="456"/>
      <c r="H922" s="353"/>
      <c r="I922" s="433"/>
      <c r="J922" s="433"/>
    </row>
    <row r="923">
      <c r="A923" s="433"/>
      <c r="B923" s="456"/>
      <c r="C923" s="433"/>
      <c r="D923" s="433"/>
      <c r="E923" s="460"/>
      <c r="F923" s="351"/>
      <c r="G923" s="456"/>
      <c r="H923" s="353"/>
      <c r="I923" s="433"/>
      <c r="J923" s="433"/>
    </row>
    <row r="924">
      <c r="A924" s="433"/>
      <c r="B924" s="456"/>
      <c r="C924" s="433"/>
      <c r="D924" s="433"/>
      <c r="E924" s="460"/>
      <c r="F924" s="351"/>
      <c r="G924" s="456"/>
      <c r="H924" s="353"/>
      <c r="I924" s="433"/>
      <c r="J924" s="433"/>
    </row>
    <row r="925">
      <c r="A925" s="433"/>
      <c r="B925" s="456"/>
      <c r="C925" s="433"/>
      <c r="D925" s="433"/>
      <c r="E925" s="460"/>
      <c r="F925" s="351"/>
      <c r="G925" s="456"/>
      <c r="H925" s="353"/>
      <c r="I925" s="433"/>
      <c r="J925" s="433"/>
    </row>
    <row r="926">
      <c r="A926" s="433"/>
      <c r="B926" s="456"/>
      <c r="C926" s="433"/>
      <c r="D926" s="433"/>
      <c r="E926" s="460"/>
      <c r="F926" s="351"/>
      <c r="G926" s="456"/>
      <c r="H926" s="353"/>
      <c r="I926" s="433"/>
      <c r="J926" s="433"/>
    </row>
    <row r="927">
      <c r="A927" s="433"/>
      <c r="B927" s="456"/>
      <c r="C927" s="433"/>
      <c r="D927" s="433"/>
      <c r="E927" s="460"/>
      <c r="F927" s="351"/>
      <c r="G927" s="456"/>
      <c r="H927" s="353"/>
      <c r="I927" s="433"/>
      <c r="J927" s="433"/>
    </row>
    <row r="928">
      <c r="A928" s="433"/>
      <c r="B928" s="456"/>
      <c r="C928" s="433"/>
      <c r="D928" s="433"/>
      <c r="E928" s="460"/>
      <c r="F928" s="351"/>
      <c r="G928" s="456"/>
      <c r="H928" s="353"/>
      <c r="I928" s="433"/>
      <c r="J928" s="433"/>
    </row>
    <row r="929">
      <c r="A929" s="433"/>
      <c r="B929" s="456"/>
      <c r="C929" s="433"/>
      <c r="D929" s="433"/>
      <c r="E929" s="460"/>
      <c r="F929" s="351"/>
      <c r="G929" s="456"/>
      <c r="H929" s="353"/>
      <c r="I929" s="433"/>
      <c r="J929" s="433"/>
    </row>
    <row r="930">
      <c r="A930" s="433"/>
      <c r="B930" s="456"/>
      <c r="C930" s="433"/>
      <c r="D930" s="433"/>
      <c r="E930" s="460"/>
      <c r="F930" s="351"/>
      <c r="G930" s="456"/>
      <c r="H930" s="353"/>
      <c r="I930" s="433"/>
      <c r="J930" s="433"/>
    </row>
    <row r="931">
      <c r="A931" s="433"/>
      <c r="B931" s="456"/>
      <c r="C931" s="433"/>
      <c r="D931" s="433"/>
      <c r="E931" s="460"/>
      <c r="F931" s="351"/>
      <c r="G931" s="456"/>
      <c r="H931" s="353"/>
      <c r="I931" s="433"/>
      <c r="J931" s="433"/>
    </row>
    <row r="932">
      <c r="A932" s="433"/>
      <c r="B932" s="456"/>
      <c r="C932" s="433"/>
      <c r="D932" s="433"/>
      <c r="E932" s="460"/>
      <c r="F932" s="351"/>
      <c r="G932" s="456"/>
      <c r="H932" s="353"/>
      <c r="I932" s="433"/>
      <c r="J932" s="433"/>
    </row>
    <row r="933">
      <c r="A933" s="433"/>
      <c r="B933" s="456"/>
      <c r="C933" s="433"/>
      <c r="D933" s="433"/>
      <c r="E933" s="460"/>
      <c r="F933" s="351"/>
      <c r="G933" s="456"/>
      <c r="H933" s="353"/>
      <c r="I933" s="433"/>
      <c r="J933" s="433"/>
    </row>
    <row r="934">
      <c r="A934" s="433"/>
      <c r="B934" s="456"/>
      <c r="C934" s="433"/>
      <c r="D934" s="433"/>
      <c r="E934" s="460"/>
      <c r="F934" s="351"/>
      <c r="G934" s="456"/>
      <c r="H934" s="353"/>
      <c r="I934" s="433"/>
      <c r="J934" s="433"/>
    </row>
    <row r="935">
      <c r="A935" s="433"/>
      <c r="B935" s="456"/>
      <c r="C935" s="433"/>
      <c r="D935" s="433"/>
      <c r="E935" s="460"/>
      <c r="F935" s="351"/>
      <c r="G935" s="456"/>
      <c r="H935" s="353"/>
      <c r="I935" s="433"/>
      <c r="J935" s="433"/>
    </row>
    <row r="936">
      <c r="A936" s="433"/>
      <c r="B936" s="456"/>
      <c r="C936" s="433"/>
      <c r="D936" s="433"/>
      <c r="E936" s="460"/>
      <c r="F936" s="351"/>
      <c r="G936" s="456"/>
      <c r="H936" s="353"/>
      <c r="I936" s="433"/>
      <c r="J936" s="433"/>
    </row>
    <row r="937">
      <c r="A937" s="433"/>
      <c r="B937" s="456"/>
      <c r="C937" s="433"/>
      <c r="D937" s="433"/>
      <c r="E937" s="460"/>
      <c r="F937" s="351"/>
      <c r="G937" s="456"/>
      <c r="H937" s="353"/>
      <c r="I937" s="433"/>
      <c r="J937" s="433"/>
    </row>
    <row r="938">
      <c r="A938" s="433"/>
      <c r="B938" s="456"/>
      <c r="C938" s="433"/>
      <c r="D938" s="433"/>
      <c r="E938" s="460"/>
      <c r="F938" s="351"/>
      <c r="G938" s="456"/>
      <c r="H938" s="353"/>
      <c r="I938" s="433"/>
      <c r="J938" s="433"/>
    </row>
    <row r="939">
      <c r="A939" s="433"/>
      <c r="B939" s="456"/>
      <c r="C939" s="433"/>
      <c r="D939" s="433"/>
      <c r="E939" s="460"/>
      <c r="F939" s="351"/>
      <c r="G939" s="456"/>
      <c r="H939" s="353"/>
      <c r="I939" s="433"/>
      <c r="J939" s="433"/>
    </row>
    <row r="940">
      <c r="A940" s="433"/>
      <c r="B940" s="456"/>
      <c r="C940" s="433"/>
      <c r="D940" s="433"/>
      <c r="E940" s="460"/>
      <c r="F940" s="351"/>
      <c r="G940" s="456"/>
      <c r="H940" s="353"/>
      <c r="I940" s="433"/>
      <c r="J940" s="433"/>
    </row>
    <row r="941">
      <c r="A941" s="433"/>
      <c r="B941" s="456"/>
      <c r="C941" s="573"/>
      <c r="D941" s="573"/>
      <c r="E941" s="461"/>
      <c r="F941" s="433"/>
      <c r="G941" s="456"/>
      <c r="H941" s="462"/>
      <c r="I941" s="433"/>
      <c r="J941" s="433"/>
    </row>
  </sheetData>
  <mergeCells count="11">
    <mergeCell ref="A46:A52"/>
    <mergeCell ref="A54:A60"/>
    <mergeCell ref="A62:A75"/>
    <mergeCell ref="A77:A81"/>
    <mergeCell ref="A1:E1"/>
    <mergeCell ref="I1:I2"/>
    <mergeCell ref="A3:A6"/>
    <mergeCell ref="A8:A14"/>
    <mergeCell ref="A16:A21"/>
    <mergeCell ref="A23:A25"/>
    <mergeCell ref="A27:A44"/>
  </mergeCells>
  <conditionalFormatting sqref="H76">
    <cfRule type="containsText" dxfId="10" priority="1" operator="containsText" text="Ja">
      <formula>NOT(ISERROR(SEARCH(("Ja"),(H76))))</formula>
    </cfRule>
  </conditionalFormatting>
  <conditionalFormatting sqref="H76">
    <cfRule type="containsText" dxfId="9" priority="2" operator="containsText" text="Nee">
      <formula>NOT(ISERROR(SEARCH(("Nee"),(H76))))</formula>
    </cfRule>
  </conditionalFormatting>
  <conditionalFormatting sqref="H76">
    <cfRule type="containsText" dxfId="6" priority="3" operator="containsText" text="NVT">
      <formula>NOT(ISERROR(SEARCH(("NVT"),(H76))))</formula>
    </cfRule>
  </conditionalFormatting>
  <hyperlinks>
    <hyperlink r:id="rId2" ref="E63"/>
    <hyperlink r:id="rId3" ref="E64"/>
    <hyperlink r:id="rId4" ref="E65"/>
    <hyperlink r:id="rId5" ref="E66"/>
    <hyperlink r:id="rId6" ref="E67"/>
    <hyperlink r:id="rId7" ref="E68"/>
    <hyperlink r:id="rId8" ref="E69"/>
    <hyperlink r:id="rId9" ref="E70"/>
    <hyperlink r:id="rId10" ref="E71"/>
    <hyperlink r:id="rId11" ref="E72"/>
    <hyperlink r:id="rId12" ref="E73"/>
    <hyperlink r:id="rId13" ref="E74"/>
    <hyperlink r:id="rId14" ref="E75"/>
    <hyperlink r:id="rId15" ref="E77"/>
    <hyperlink r:id="rId16" ref="E78"/>
    <hyperlink r:id="rId17" ref="E79"/>
    <hyperlink r:id="rId18" ref="E80"/>
    <hyperlink r:id="rId19" ref="E81"/>
  </hyperlinks>
  <drawing r:id="rId20"/>
  <legacyDrawing r:id="rId2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45818E"/>
    <outlinePr summaryBelow="0" summaryRight="0"/>
  </sheetPr>
  <sheetViews>
    <sheetView workbookViewId="0">
      <pane ySplit="2.0" topLeftCell="A3" activePane="bottomLeft" state="frozen"/>
      <selection activeCell="B4" sqref="B4" pane="bottomLeft"/>
    </sheetView>
  </sheetViews>
  <sheetFormatPr customHeight="1" defaultColWidth="14.43" defaultRowHeight="15.75"/>
  <cols>
    <col customWidth="1" min="1" max="1" width="29.29"/>
    <col customWidth="1" min="2" max="2" width="10.29"/>
    <col customWidth="1" min="3" max="3" width="9.86"/>
    <col customWidth="1" min="4" max="4" width="15.71"/>
    <col customWidth="1" min="5" max="5" width="97.29"/>
    <col customWidth="1" min="6" max="6" width="0.86"/>
    <col customWidth="1" min="7" max="7" width="14.43"/>
    <col customWidth="1" min="8" max="8" width="12.57"/>
    <col customWidth="1" min="9" max="9" width="0.86"/>
    <col customWidth="1" min="10" max="10" width="46.43"/>
  </cols>
  <sheetData>
    <row r="1" ht="30.75" customHeight="1">
      <c r="A1" s="329" t="s">
        <v>912</v>
      </c>
      <c r="B1" s="330"/>
      <c r="C1" s="330"/>
      <c r="D1" s="330"/>
      <c r="E1" s="27"/>
      <c r="F1" s="464"/>
      <c r="G1" s="467" t="s">
        <v>149</v>
      </c>
      <c r="H1" s="335"/>
      <c r="I1" s="465"/>
      <c r="J1" s="337" t="s">
        <v>150</v>
      </c>
    </row>
    <row r="2">
      <c r="A2" s="550" t="s">
        <v>817</v>
      </c>
      <c r="B2" s="339" t="s">
        <v>152</v>
      </c>
      <c r="C2" s="339" t="s">
        <v>153</v>
      </c>
      <c r="D2" s="340" t="s">
        <v>154</v>
      </c>
      <c r="E2" s="341" t="s">
        <v>155</v>
      </c>
      <c r="F2" s="471"/>
      <c r="G2" s="469" t="s">
        <v>157</v>
      </c>
      <c r="H2" s="584" t="s">
        <v>913</v>
      </c>
      <c r="I2" s="473"/>
      <c r="J2" s="27"/>
    </row>
    <row r="3" ht="17.25" customHeight="1">
      <c r="A3" s="347" t="s">
        <v>159</v>
      </c>
      <c r="B3" s="252" t="s">
        <v>914</v>
      </c>
      <c r="C3" s="479" t="s">
        <v>589</v>
      </c>
      <c r="D3" s="479" t="s">
        <v>176</v>
      </c>
      <c r="E3" s="551" t="str">
        <f>HYPERLINK("https://www.reddit.com/r/RMTK/comments/a1vi0i/kb0001_koninklijk_besluit_betreffende_aanpak/","Koninklijk Besluit betreffende aanpak &amp; veroordeling van de humanitaire crisis in Jemen ")</f>
        <v>Koninklijk Besluit betreffende aanpak &amp; veroordeling van de humanitaire crisis in Jemen </v>
      </c>
      <c r="F3" s="353"/>
      <c r="G3" s="252" t="s">
        <v>173</v>
      </c>
      <c r="H3" s="585" t="s">
        <v>267</v>
      </c>
      <c r="I3" s="353"/>
      <c r="J3" s="354" t="s">
        <v>61</v>
      </c>
    </row>
    <row r="4" ht="7.5" customHeight="1">
      <c r="A4" s="370"/>
      <c r="B4" s="374"/>
      <c r="C4" s="418"/>
      <c r="D4" s="418"/>
      <c r="E4" s="372"/>
      <c r="F4" s="375"/>
      <c r="G4" s="374"/>
      <c r="H4" s="370"/>
      <c r="I4" s="375"/>
      <c r="J4" s="370"/>
    </row>
    <row r="5" ht="17.25" customHeight="1">
      <c r="A5" s="347" t="s">
        <v>208</v>
      </c>
      <c r="B5" s="252"/>
      <c r="C5" s="586"/>
      <c r="D5" s="586"/>
      <c r="E5" s="587"/>
      <c r="F5" s="353"/>
      <c r="G5" s="252"/>
      <c r="H5" s="586"/>
      <c r="I5" s="353"/>
      <c r="J5" s="354"/>
    </row>
    <row r="6" ht="7.5" customHeight="1">
      <c r="A6" s="370"/>
      <c r="B6" s="374"/>
      <c r="C6" s="588"/>
      <c r="D6" s="588"/>
      <c r="E6" s="372"/>
      <c r="F6" s="375"/>
      <c r="G6" s="374"/>
      <c r="H6" s="370"/>
      <c r="I6" s="375"/>
      <c r="J6" s="370"/>
    </row>
    <row r="7" ht="17.25" customHeight="1">
      <c r="A7" s="347" t="s">
        <v>241</v>
      </c>
      <c r="B7" s="252" t="s">
        <v>915</v>
      </c>
      <c r="C7" s="479" t="s">
        <v>589</v>
      </c>
      <c r="D7" s="479" t="s">
        <v>102</v>
      </c>
      <c r="E7" s="551" t="str">
        <f>HYPERLINK("https://www.reddit.com/r/RMTK/comments/bhbque/kb0002_koninklijk_besluit_tot_wijziging/","Koninklijk Besluit tot wijziging discretionaire bevoegdheid")</f>
        <v>Koninklijk Besluit tot wijziging discretionaire bevoegdheid</v>
      </c>
      <c r="F7" s="353"/>
      <c r="G7" s="252" t="s">
        <v>173</v>
      </c>
      <c r="H7" s="360" t="s">
        <v>180</v>
      </c>
      <c r="I7" s="353"/>
      <c r="J7" s="354" t="s">
        <v>61</v>
      </c>
    </row>
    <row r="8" ht="17.25" customHeight="1">
      <c r="B8" s="252" t="s">
        <v>916</v>
      </c>
      <c r="C8" s="479" t="s">
        <v>589</v>
      </c>
      <c r="D8" s="479" t="s">
        <v>206</v>
      </c>
      <c r="E8" s="551" t="str">
        <f>HYPERLINK("https://www.reddit.com/r/RMTK/comments/bitzbo/kb0003_koninklijk_besluit_examenprogramma_voor/","Koninklijk Besluit examenprogramma voor wetenschapsoriëntatie")</f>
        <v>Koninklijk Besluit examenprogramma voor wetenschapsoriëntatie</v>
      </c>
      <c r="F8" s="351"/>
      <c r="G8" s="252" t="s">
        <v>216</v>
      </c>
      <c r="H8" s="585" t="s">
        <v>267</v>
      </c>
      <c r="I8" s="353"/>
      <c r="J8" s="354" t="s">
        <v>61</v>
      </c>
    </row>
    <row r="9" ht="17.25" customHeight="1">
      <c r="B9" s="252" t="s">
        <v>917</v>
      </c>
      <c r="C9" s="479" t="s">
        <v>589</v>
      </c>
      <c r="D9" s="479" t="s">
        <v>206</v>
      </c>
      <c r="E9" s="551" t="str">
        <f>HYPERLINK("https://www.reddit.com/r/RMTK/comments/bmajz3/kb0004_besluit_wijziging_uitvoeringsbesluit_whw/","Besluit Wijziging Uitvoeringsbesluit WHW 2008")</f>
        <v>Besluit Wijziging Uitvoeringsbesluit WHW 2008</v>
      </c>
      <c r="F9" s="351"/>
      <c r="G9" s="252" t="s">
        <v>216</v>
      </c>
      <c r="H9" s="585" t="s">
        <v>267</v>
      </c>
      <c r="I9" s="353"/>
      <c r="J9" s="354" t="s">
        <v>61</v>
      </c>
    </row>
    <row r="10" ht="7.5" customHeight="1">
      <c r="A10" s="370"/>
      <c r="B10" s="374"/>
      <c r="C10" s="371"/>
      <c r="D10" s="371"/>
      <c r="E10" s="372"/>
      <c r="F10" s="373"/>
      <c r="G10" s="374"/>
      <c r="H10" s="370"/>
      <c r="I10" s="375"/>
      <c r="J10" s="370"/>
    </row>
    <row r="11" ht="17.25" customHeight="1">
      <c r="A11" s="347" t="s">
        <v>263</v>
      </c>
      <c r="B11" s="252" t="s">
        <v>918</v>
      </c>
      <c r="C11" s="479" t="s">
        <v>589</v>
      </c>
      <c r="D11" s="479" t="s">
        <v>260</v>
      </c>
      <c r="E11" s="551" t="str">
        <f>HYPERLINK("https://www.reddit.com/r/RMTK/comments/brrupz/kb0005_besluit_uitbreiding_vergoeding/","Besluit uitbreiding vergoeding anticonceptie")</f>
        <v>Besluit uitbreiding vergoeding anticonceptie</v>
      </c>
      <c r="F11" s="351"/>
      <c r="G11" s="252" t="s">
        <v>253</v>
      </c>
      <c r="H11" s="585" t="s">
        <v>267</v>
      </c>
      <c r="I11" s="353"/>
      <c r="J11" s="354" t="s">
        <v>61</v>
      </c>
    </row>
    <row r="12" ht="17.25" customHeight="1">
      <c r="B12" s="252" t="s">
        <v>919</v>
      </c>
      <c r="C12" s="479" t="s">
        <v>589</v>
      </c>
      <c r="D12" s="479" t="s">
        <v>260</v>
      </c>
      <c r="E12" s="554" t="str">
        <f>HYPERLINK("https://www.reddit.com/r/RMTK/comments/bv8zve/kb0006_besluit_minimumjeugdloon/", "Besluit minimumloon")</f>
        <v>Besluit minimumloon</v>
      </c>
      <c r="F12" s="351"/>
      <c r="G12" s="252" t="s">
        <v>253</v>
      </c>
      <c r="H12" s="585" t="s">
        <v>267</v>
      </c>
      <c r="I12" s="353"/>
      <c r="J12" s="354" t="s">
        <v>61</v>
      </c>
    </row>
    <row r="13" ht="17.25" customHeight="1">
      <c r="B13" s="252" t="s">
        <v>920</v>
      </c>
      <c r="C13" s="479" t="s">
        <v>589</v>
      </c>
      <c r="D13" s="479" t="s">
        <v>206</v>
      </c>
      <c r="E13" s="554" t="str">
        <f>HYPERLINK("https://www.reddit.com/r/RMTK/comments/bw90ia/kb0007_besluit_ontslag_en_tijdelijke_vervanging/","Besluit ontslag en tijdelijke vervanging ministers")</f>
        <v>Besluit ontslag en tijdelijke vervanging ministers</v>
      </c>
      <c r="F13" s="351"/>
      <c r="G13" s="252" t="s">
        <v>173</v>
      </c>
      <c r="H13" s="585" t="s">
        <v>267</v>
      </c>
      <c r="I13" s="353"/>
      <c r="J13" s="354" t="s">
        <v>61</v>
      </c>
    </row>
    <row r="14" ht="17.25" customHeight="1">
      <c r="B14" s="252" t="s">
        <v>921</v>
      </c>
      <c r="C14" s="479" t="s">
        <v>589</v>
      </c>
      <c r="D14" s="479" t="s">
        <v>206</v>
      </c>
      <c r="E14" s="554" t="str">
        <f>HYPERLINK("https://www.reddit.com/r/RMTK/comments/bybuvj/kb0008_besluit_ontslag_en_aanstelling_minister/","Besluit ontslag en aanstelling minister van R&amp;D")</f>
        <v>Besluit ontslag en aanstelling minister van R&amp;D</v>
      </c>
      <c r="F14" s="351"/>
      <c r="G14" s="252" t="s">
        <v>173</v>
      </c>
      <c r="H14" s="585" t="s">
        <v>267</v>
      </c>
      <c r="I14" s="353"/>
      <c r="J14" s="354" t="s">
        <v>61</v>
      </c>
    </row>
    <row r="15" ht="17.25" customHeight="1">
      <c r="B15" s="252" t="s">
        <v>922</v>
      </c>
      <c r="C15" s="479" t="s">
        <v>589</v>
      </c>
      <c r="D15" s="479" t="s">
        <v>102</v>
      </c>
      <c r="E15" s="551" t="str">
        <f>HYPERLINK("https://www.reddit.com/r/RMTK/comments/c5tzli/kb0009_koninklijk_besluit_tot_formele_erkenning/","Koninklijk Besluit tot formele erkenning Palestina als onafhankelijke staat")</f>
        <v>Koninklijk Besluit tot formele erkenning Palestina als onafhankelijke staat</v>
      </c>
      <c r="F15" s="351"/>
      <c r="G15" s="252" t="s">
        <v>183</v>
      </c>
      <c r="H15" s="585" t="s">
        <v>267</v>
      </c>
      <c r="I15" s="353"/>
      <c r="J15" s="354" t="s">
        <v>61</v>
      </c>
    </row>
    <row r="16" ht="7.5" customHeight="1">
      <c r="A16" s="370"/>
      <c r="B16" s="374"/>
      <c r="C16" s="371"/>
      <c r="D16" s="371"/>
      <c r="E16" s="372"/>
      <c r="F16" s="373"/>
      <c r="G16" s="374"/>
      <c r="H16" s="370"/>
      <c r="I16" s="375"/>
      <c r="J16" s="370"/>
    </row>
    <row r="17" ht="17.25" customHeight="1">
      <c r="A17" s="347" t="s">
        <v>299</v>
      </c>
      <c r="B17" s="252" t="s">
        <v>923</v>
      </c>
      <c r="C17" s="479" t="s">
        <v>589</v>
      </c>
      <c r="D17" s="479" t="s">
        <v>136</v>
      </c>
      <c r="E17" s="554" t="str">
        <f>HYPERLINK("https://www.reddit.com/r/RMTK/comments/cz87wh/kb0010_koninklijk_besluit_aanwijzing/","Koninklijk Besluit aanwijzing natuurramp-gemeenten")</f>
        <v>Koninklijk Besluit aanwijzing natuurramp-gemeenten</v>
      </c>
      <c r="F17" s="351"/>
      <c r="G17" s="252" t="s">
        <v>247</v>
      </c>
      <c r="H17" s="411" t="s">
        <v>267</v>
      </c>
      <c r="I17" s="353"/>
      <c r="J17" s="354" t="s">
        <v>61</v>
      </c>
    </row>
    <row r="18" ht="7.5" customHeight="1">
      <c r="A18" s="370"/>
      <c r="B18" s="374"/>
      <c r="C18" s="371"/>
      <c r="D18" s="371"/>
      <c r="E18" s="372"/>
      <c r="F18" s="373"/>
      <c r="G18" s="374"/>
      <c r="H18" s="370"/>
      <c r="I18" s="375"/>
      <c r="J18" s="370"/>
    </row>
    <row r="19" ht="17.25" customHeight="1">
      <c r="A19" s="347" t="s">
        <v>351</v>
      </c>
      <c r="B19" s="252" t="s">
        <v>924</v>
      </c>
      <c r="C19" s="479" t="s">
        <v>589</v>
      </c>
      <c r="D19" s="479" t="s">
        <v>111</v>
      </c>
      <c r="E19" s="554" t="str">
        <f>HYPERLINK("https://www.reddit.com/r/RMTK/comments/diti3r/kb0011_besluit_tot_invoering_w0009/","Besluit tot invoering W0009")</f>
        <v>Besluit tot invoering W0009</v>
      </c>
      <c r="F19" s="351"/>
      <c r="G19" s="252" t="s">
        <v>363</v>
      </c>
      <c r="H19" s="399" t="s">
        <v>180</v>
      </c>
      <c r="I19" s="353"/>
      <c r="J19" s="354" t="s">
        <v>925</v>
      </c>
    </row>
    <row r="20" ht="17.25" customHeight="1">
      <c r="B20" s="252" t="s">
        <v>926</v>
      </c>
      <c r="C20" s="479" t="s">
        <v>589</v>
      </c>
      <c r="D20" s="479" t="s">
        <v>16</v>
      </c>
      <c r="E20" s="554" t="str">
        <f>HYPERLINK("https://www.reddit.com/r/RMTK/comments/dk4pqn/kb0012_besluit_houdende_het_verlenen_van_ontslag/","Besluit houdende het verlenen van ontslag aan /u/123ricardo210 als Vice-Minister-President")</f>
        <v>Besluit houdende het verlenen van ontslag aan /u/123ricardo210 als Vice-Minister-President</v>
      </c>
      <c r="F20" s="351"/>
      <c r="G20" s="252" t="s">
        <v>173</v>
      </c>
      <c r="H20" s="354" t="s">
        <v>267</v>
      </c>
      <c r="I20" s="353"/>
      <c r="J20" s="354" t="s">
        <v>61</v>
      </c>
    </row>
    <row r="21" ht="17.25" customHeight="1">
      <c r="B21" s="252" t="s">
        <v>927</v>
      </c>
      <c r="C21" s="479" t="s">
        <v>589</v>
      </c>
      <c r="D21" s="479" t="s">
        <v>182</v>
      </c>
      <c r="E21" s="554" t="str">
        <f>HYPERLINK("https://www.reddit.com/r/RMTK/comments/doaj6a/kb0013_besluit_sancties_turkije/","Besluit sancties Turkije")</f>
        <v>Besluit sancties Turkije</v>
      </c>
      <c r="F21" s="351"/>
      <c r="G21" s="252" t="s">
        <v>361</v>
      </c>
      <c r="H21" s="354" t="s">
        <v>267</v>
      </c>
      <c r="I21" s="353"/>
      <c r="J21" s="354" t="s">
        <v>61</v>
      </c>
    </row>
    <row r="22" ht="17.25" customHeight="1">
      <c r="B22" s="252" t="s">
        <v>928</v>
      </c>
      <c r="C22" s="564" t="s">
        <v>589</v>
      </c>
      <c r="D22" s="564" t="s">
        <v>16</v>
      </c>
      <c r="E22" s="554" t="str">
        <f>HYPERLINK("https://www.reddit.com/r/RMTK/comments/dr0l46/kb0013_besluit_houdende_het_vervangen_van_de/","Besluit houdende het vervangen van de Minister van BZKJ")</f>
        <v>Besluit houdende het vervangen van de Minister van BZKJ</v>
      </c>
      <c r="F22" s="351"/>
      <c r="G22" s="252" t="s">
        <v>173</v>
      </c>
      <c r="H22" s="354" t="s">
        <v>267</v>
      </c>
      <c r="I22" s="353"/>
      <c r="J22" s="354" t="s">
        <v>61</v>
      </c>
    </row>
    <row r="23" ht="17.25" customHeight="1">
      <c r="B23" s="252" t="s">
        <v>929</v>
      </c>
      <c r="C23" s="515" t="s">
        <v>589</v>
      </c>
      <c r="D23" s="479" t="s">
        <v>930</v>
      </c>
      <c r="E23" s="554" t="str">
        <f>HYPERLINK("https://www.reddit.com/r/RMTK/comments/duvoae/kb0015_besluit_houdende_intrekking_van_het/","Besluit houdende intrekking van het besluit tot invoering W0009")</f>
        <v>Besluit houdende intrekking van het besluit tot invoering W0009</v>
      </c>
      <c r="F23" s="351"/>
      <c r="G23" s="252" t="s">
        <v>363</v>
      </c>
      <c r="H23" s="354" t="s">
        <v>267</v>
      </c>
      <c r="I23" s="353"/>
      <c r="J23" s="354" t="s">
        <v>61</v>
      </c>
    </row>
    <row r="24" ht="17.25" customHeight="1">
      <c r="B24" s="252" t="s">
        <v>931</v>
      </c>
      <c r="C24" s="564" t="s">
        <v>589</v>
      </c>
      <c r="D24" s="564" t="s">
        <v>16</v>
      </c>
      <c r="E24" s="554" t="str">
        <f>HYPERLINK("https://www.reddit.com/r/RMTK/comments/dvxmgp/kb0016_besluit_houdende_het_vervangen_van_de/","Besluit houdende het vervangen van de Minister van Veiligheid en Defensie")</f>
        <v>Besluit houdende het vervangen van de Minister van Veiligheid en Defensie</v>
      </c>
      <c r="F24" s="351"/>
      <c r="G24" s="252" t="s">
        <v>173</v>
      </c>
      <c r="H24" s="354" t="s">
        <v>267</v>
      </c>
      <c r="I24" s="353"/>
      <c r="J24" s="354" t="s">
        <v>61</v>
      </c>
    </row>
    <row r="25" ht="17.25" customHeight="1">
      <c r="B25" s="252" t="s">
        <v>932</v>
      </c>
      <c r="C25" s="564" t="s">
        <v>589</v>
      </c>
      <c r="D25" s="564" t="s">
        <v>16</v>
      </c>
      <c r="E25" s="554" t="str">
        <f>hyperlink("https://www.reddit.com/r/RMTK/comments/e1da6f/kb0017_koninklijk_besluit_houdende_enkele/","Koninklijk Besluit houdende enkele ministeriële wijzigingen ")</f>
        <v>Koninklijk Besluit houdende enkele ministeriële wijzigingen </v>
      </c>
      <c r="F25" s="351"/>
      <c r="G25" s="252" t="s">
        <v>173</v>
      </c>
      <c r="H25" s="354" t="s">
        <v>267</v>
      </c>
      <c r="I25" s="353"/>
      <c r="J25" s="354" t="s">
        <v>61</v>
      </c>
    </row>
    <row r="26" ht="17.25" customHeight="1">
      <c r="B26" s="252" t="s">
        <v>933</v>
      </c>
      <c r="C26" s="479" t="s">
        <v>589</v>
      </c>
      <c r="D26" s="479" t="s">
        <v>182</v>
      </c>
      <c r="E26" s="554" t="str">
        <f>hyperlink("https://www.reddit.com/r/RMTK/comments/e2n3fu/kb0018_besluit_ter_verlenging_van_de_tijdelijke/?","Besluit Ter Verlenging Van De Tijdelijke Sanctiewet Saudi-Arabië")</f>
        <v>Besluit Ter Verlenging Van De Tijdelijke Sanctiewet Saudi-Arabië</v>
      </c>
      <c r="F26" s="351"/>
      <c r="G26" s="252" t="s">
        <v>361</v>
      </c>
      <c r="H26" s="354" t="s">
        <v>267</v>
      </c>
      <c r="I26" s="353"/>
      <c r="J26" s="354" t="s">
        <v>61</v>
      </c>
    </row>
    <row r="27">
      <c r="B27" s="252" t="s">
        <v>934</v>
      </c>
      <c r="C27" s="479" t="s">
        <v>589</v>
      </c>
      <c r="D27" s="479" t="s">
        <v>182</v>
      </c>
      <c r="E27" s="566" t="str">
        <f>HYPERLINK("https://www.reddit.com/r/RMTK/comments/e3eh0z/kb0019_besluit_houdende_de_lijst_van_digitale/","Besluit houdende de lijst van digitale apparatuur die een gevaar kunnen zijn voor de nationale veiligheid")</f>
        <v>Besluit houdende de lijst van digitale apparatuur die een gevaar kunnen zijn voor de nationale veiligheid</v>
      </c>
      <c r="F27" s="351"/>
      <c r="G27" s="252" t="s">
        <v>361</v>
      </c>
      <c r="H27" s="354" t="s">
        <v>267</v>
      </c>
      <c r="I27" s="353"/>
      <c r="J27" s="354" t="s">
        <v>61</v>
      </c>
    </row>
    <row r="28" ht="7.5" customHeight="1">
      <c r="A28" s="370"/>
      <c r="B28" s="374"/>
      <c r="C28" s="371"/>
      <c r="D28" s="371"/>
      <c r="E28" s="372"/>
      <c r="F28" s="373"/>
      <c r="G28" s="374"/>
      <c r="H28" s="370"/>
      <c r="I28" s="375"/>
      <c r="J28" s="370"/>
    </row>
    <row r="29" ht="17.25" customHeight="1">
      <c r="A29" s="347" t="s">
        <v>380</v>
      </c>
      <c r="B29" s="252" t="s">
        <v>935</v>
      </c>
      <c r="C29" s="564" t="s">
        <v>589</v>
      </c>
      <c r="D29" s="479" t="s">
        <v>25</v>
      </c>
      <c r="E29" s="554" t="str">
        <f>HYPERLINK("https://www.reddit.com/r/RMTK/comments/esblyq/kb0020_besluit_tot_wijziging_van_de_lijsten/","Besluit tot wijziging van de lijsten behorende bij de Opiumwet")</f>
        <v>Besluit tot wijziging van de lijsten behorende bij de Opiumwet</v>
      </c>
      <c r="F29" s="351"/>
      <c r="G29" s="252" t="s">
        <v>253</v>
      </c>
      <c r="H29" s="354" t="s">
        <v>267</v>
      </c>
      <c r="I29" s="353"/>
      <c r="J29" s="354" t="s">
        <v>61</v>
      </c>
    </row>
    <row r="30" ht="17.25" customHeight="1">
      <c r="B30" s="252" t="s">
        <v>936</v>
      </c>
      <c r="C30" s="564" t="s">
        <v>589</v>
      </c>
      <c r="D30" s="479" t="s">
        <v>252</v>
      </c>
      <c r="E30" s="554" t="str">
        <f>HYPERLINK("https://www.reddit.com/r/RMTK/comments/esssiw/kb0021_besluit_op_exportvergunning_aan_asml/","Besluit op exportvergunning aan ASML Holding N.V.")</f>
        <v>Besluit op exportvergunning aan ASML Holding N.V.</v>
      </c>
      <c r="F30" s="351"/>
      <c r="G30" s="252" t="s">
        <v>385</v>
      </c>
      <c r="H30" s="354" t="s">
        <v>267</v>
      </c>
      <c r="I30" s="353"/>
      <c r="J30" s="354" t="s">
        <v>61</v>
      </c>
    </row>
    <row r="31" ht="17.25" customHeight="1">
      <c r="B31" s="252" t="s">
        <v>937</v>
      </c>
      <c r="C31" s="564" t="s">
        <v>589</v>
      </c>
      <c r="D31" s="564" t="s">
        <v>16</v>
      </c>
      <c r="E31" s="589" t="str">
        <f>hyperlink("https://www.reddit.com/r/RMTK/comments/eyp1k3/kb0022_koninklijk_besluit_van_27_januari_2020/","Koninklijk Besluit van 27 januari 2020, houdende het verlenen van vrijstelling op de in de Algemene Rustwet vervatte verboden, het wijzigen van het Arbeidstijdenbesluit en het regelen van inwerkingtreding van de Algemene Rustwet")</f>
        <v>Koninklijk Besluit van 27 januari 2020, houdende het verlenen van vrijstelling op de in de Algemene Rustwet vervatte verboden, het wijzigen van het Arbeidstijdenbesluit en het regelen van inwerkingtreding van de Algemene Rustwet</v>
      </c>
      <c r="F31" s="351"/>
      <c r="G31" s="252" t="s">
        <v>218</v>
      </c>
      <c r="H31" s="354" t="s">
        <v>267</v>
      </c>
      <c r="I31" s="353"/>
      <c r="J31" s="354" t="s">
        <v>61</v>
      </c>
    </row>
    <row r="32" ht="17.25" customHeight="1">
      <c r="B32" s="252" t="s">
        <v>938</v>
      </c>
      <c r="C32" s="564" t="s">
        <v>589</v>
      </c>
      <c r="D32" s="564" t="s">
        <v>16</v>
      </c>
      <c r="E32" s="589" t="str">
        <f>HYPERLINK("https://www.reddit.com/r/RMTK/comments/falkx1/kb0023_besluit_van_19_februari_2020_houdende_het/","Besluit van 19 februari 2020, houdende het gelijkstellen van data met de dagen waarop het tweede hoofdstuk van de algemene rustwet van toepassing is")</f>
        <v>Besluit van 19 februari 2020, houdende het gelijkstellen van data met de dagen waarop het tweede hoofdstuk van de algemene rustwet van toepassing is</v>
      </c>
      <c r="F32" s="351"/>
      <c r="G32" s="252" t="s">
        <v>218</v>
      </c>
      <c r="H32" s="354" t="s">
        <v>267</v>
      </c>
      <c r="I32" s="353"/>
      <c r="J32" s="354" t="s">
        <v>61</v>
      </c>
    </row>
    <row r="33" ht="7.5" customHeight="1">
      <c r="A33" s="370"/>
      <c r="B33" s="374"/>
      <c r="C33" s="371"/>
      <c r="D33" s="371"/>
      <c r="E33" s="372"/>
      <c r="F33" s="373"/>
      <c r="G33" s="374"/>
      <c r="H33" s="370"/>
      <c r="I33" s="375"/>
      <c r="J33" s="370"/>
    </row>
    <row r="34" ht="17.25" customHeight="1">
      <c r="A34" s="590" t="s">
        <v>402</v>
      </c>
      <c r="B34" s="591" t="s">
        <v>939</v>
      </c>
      <c r="C34" s="592" t="s">
        <v>589</v>
      </c>
      <c r="D34" s="593" t="s">
        <v>176</v>
      </c>
      <c r="E34" s="594" t="str">
        <f>HYPERLINK("https://www.reddit.com/r/RMTK/comments/fw09bo/kb0024_koninklijk_besluit_412020_houdende_de/","Koninklijk Besluit, 4-1-2020, houdende de wijziging Regeling beheer rijkscollectie en subsidiëring museale instellingen teneinde het verstrekken van en leveren van subsidie voor gratis toegang voor personen tot en met het drieëntwintigste levensjaar")</f>
        <v>Koninklijk Besluit, 4-1-2020, houdende de wijziging Regeling beheer rijkscollectie en subsidiëring museale instellingen teneinde het verstrekken van en leveren van subsidie voor gratis toegang voor personen tot en met het drieëntwintigste levensjaar</v>
      </c>
      <c r="F34" s="353"/>
      <c r="G34" s="252" t="s">
        <v>216</v>
      </c>
      <c r="H34" s="354" t="s">
        <v>267</v>
      </c>
      <c r="I34" s="353"/>
      <c r="J34" s="354" t="s">
        <v>61</v>
      </c>
    </row>
    <row r="35" ht="17.25" customHeight="1">
      <c r="B35" s="591" t="s">
        <v>940</v>
      </c>
      <c r="C35" s="592" t="s">
        <v>589</v>
      </c>
      <c r="D35" s="593" t="s">
        <v>106</v>
      </c>
      <c r="E35" s="595" t="s">
        <v>941</v>
      </c>
      <c r="F35" s="353"/>
      <c r="G35" s="252" t="s">
        <v>358</v>
      </c>
      <c r="H35" s="354" t="s">
        <v>267</v>
      </c>
      <c r="I35" s="353"/>
      <c r="J35" s="354" t="s">
        <v>61</v>
      </c>
    </row>
    <row r="36" ht="17.25" customHeight="1">
      <c r="B36" s="591" t="s">
        <v>942</v>
      </c>
      <c r="C36" s="592" t="s">
        <v>589</v>
      </c>
      <c r="D36" s="593" t="s">
        <v>106</v>
      </c>
      <c r="E36" s="595" t="s">
        <v>943</v>
      </c>
      <c r="F36" s="353"/>
      <c r="G36" s="252" t="s">
        <v>358</v>
      </c>
      <c r="H36" s="354" t="s">
        <v>267</v>
      </c>
      <c r="I36" s="353"/>
      <c r="J36" s="354" t="s">
        <v>61</v>
      </c>
    </row>
    <row r="37" ht="17.25" customHeight="1">
      <c r="B37" s="591" t="s">
        <v>944</v>
      </c>
      <c r="C37" s="592" t="s">
        <v>589</v>
      </c>
      <c r="D37" s="593" t="s">
        <v>106</v>
      </c>
      <c r="E37" s="596" t="str">
        <f>HYPERLINK("https://www.reddit.com/r/RMTK/comments/ghbadd/kb0027_koninklijk_besluit_ter_toevoeging_van_het/","Koninklijk Besluit ter toevoeging van het Friese Bevrijdingsleger aan de sanctieregeling terrorisme 2007-II")</f>
        <v>Koninklijk Besluit ter toevoeging van het Friese Bevrijdingsleger aan de sanctieregeling terrorisme 2007-II</v>
      </c>
      <c r="F37" s="353"/>
      <c r="G37" s="252" t="s">
        <v>358</v>
      </c>
      <c r="H37" s="354" t="s">
        <v>267</v>
      </c>
      <c r="I37" s="353"/>
      <c r="J37" s="354" t="s">
        <v>61</v>
      </c>
    </row>
    <row r="38" ht="7.5" customHeight="1">
      <c r="A38" s="528"/>
      <c r="B38" s="529"/>
      <c r="C38" s="530"/>
      <c r="D38" s="530"/>
      <c r="E38" s="451"/>
      <c r="F38" s="531"/>
      <c r="G38" s="529"/>
      <c r="H38" s="531"/>
      <c r="I38" s="531"/>
      <c r="J38" s="531"/>
    </row>
    <row r="39" ht="17.25" customHeight="1">
      <c r="A39" s="575" t="s">
        <v>563</v>
      </c>
      <c r="B39" s="597" t="s">
        <v>945</v>
      </c>
      <c r="C39" s="592" t="s">
        <v>589</v>
      </c>
      <c r="D39" s="564" t="s">
        <v>16</v>
      </c>
      <c r="E39" s="598" t="s">
        <v>946</v>
      </c>
      <c r="F39" s="599"/>
      <c r="G39" s="597" t="s">
        <v>173</v>
      </c>
      <c r="H39" s="600" t="s">
        <v>267</v>
      </c>
      <c r="I39" s="601"/>
      <c r="J39" s="578"/>
    </row>
    <row r="40" ht="17.25" customHeight="1">
      <c r="B40" s="597" t="s">
        <v>947</v>
      </c>
      <c r="C40" s="592" t="s">
        <v>589</v>
      </c>
      <c r="D40" s="479" t="s">
        <v>101</v>
      </c>
      <c r="E40" s="454" t="s">
        <v>948</v>
      </c>
      <c r="F40" s="351"/>
      <c r="G40" s="580" t="s">
        <v>363</v>
      </c>
      <c r="H40" s="354" t="s">
        <v>267</v>
      </c>
      <c r="I40" s="353"/>
      <c r="J40" s="433"/>
    </row>
    <row r="41" ht="17.25" customHeight="1">
      <c r="A41" s="433"/>
      <c r="B41" s="597"/>
      <c r="C41" s="433"/>
      <c r="D41" s="433"/>
      <c r="E41" s="460"/>
      <c r="F41" s="351"/>
      <c r="G41" s="456"/>
      <c r="H41" s="433"/>
      <c r="I41" s="353"/>
      <c r="J41" s="433"/>
    </row>
    <row r="42" ht="17.25" customHeight="1">
      <c r="A42" s="433"/>
      <c r="B42" s="456"/>
      <c r="C42" s="433"/>
      <c r="D42" s="433"/>
      <c r="E42" s="460"/>
      <c r="F42" s="351"/>
      <c r="G42" s="456"/>
      <c r="H42" s="433"/>
      <c r="I42" s="353"/>
      <c r="J42" s="433"/>
    </row>
    <row r="43" ht="17.25" customHeight="1">
      <c r="A43" s="433"/>
      <c r="B43" s="456"/>
      <c r="C43" s="433"/>
      <c r="D43" s="433"/>
      <c r="E43" s="460"/>
      <c r="F43" s="351"/>
      <c r="G43" s="456"/>
      <c r="H43" s="433"/>
      <c r="I43" s="353"/>
      <c r="J43" s="433"/>
    </row>
    <row r="44" ht="17.25" customHeight="1">
      <c r="A44" s="433"/>
      <c r="B44" s="456"/>
      <c r="C44" s="433"/>
      <c r="D44" s="433"/>
      <c r="E44" s="460"/>
      <c r="F44" s="351"/>
      <c r="G44" s="456"/>
      <c r="H44" s="433"/>
      <c r="I44" s="353"/>
      <c r="J44" s="433"/>
    </row>
    <row r="45" ht="17.25" customHeight="1">
      <c r="A45" s="433"/>
      <c r="B45" s="456"/>
      <c r="C45" s="433"/>
      <c r="D45" s="433"/>
      <c r="E45" s="460"/>
      <c r="F45" s="351"/>
      <c r="G45" s="456"/>
      <c r="H45" s="433"/>
      <c r="I45" s="353"/>
      <c r="J45" s="433"/>
    </row>
    <row r="46" ht="17.25" customHeight="1">
      <c r="A46" s="433"/>
      <c r="B46" s="456"/>
      <c r="C46" s="433"/>
      <c r="D46" s="433"/>
      <c r="E46" s="460"/>
      <c r="F46" s="351"/>
      <c r="G46" s="456"/>
      <c r="H46" s="433"/>
      <c r="I46" s="353"/>
      <c r="J46" s="433"/>
    </row>
    <row r="47" ht="17.25" customHeight="1">
      <c r="A47" s="433"/>
      <c r="B47" s="456"/>
      <c r="C47" s="433"/>
      <c r="D47" s="433"/>
      <c r="E47" s="460"/>
      <c r="F47" s="351"/>
      <c r="G47" s="456"/>
      <c r="H47" s="433"/>
      <c r="I47" s="353"/>
      <c r="J47" s="433"/>
    </row>
    <row r="48" ht="17.25" customHeight="1">
      <c r="A48" s="433"/>
      <c r="B48" s="456"/>
      <c r="C48" s="433"/>
      <c r="D48" s="433"/>
      <c r="E48" s="460"/>
      <c r="F48" s="351"/>
      <c r="G48" s="456"/>
      <c r="H48" s="433"/>
      <c r="I48" s="353"/>
      <c r="J48" s="433"/>
    </row>
    <row r="49" ht="17.25" customHeight="1">
      <c r="A49" s="433"/>
      <c r="B49" s="456"/>
      <c r="C49" s="433"/>
      <c r="D49" s="433"/>
      <c r="E49" s="460"/>
      <c r="F49" s="351"/>
      <c r="G49" s="456"/>
      <c r="H49" s="433"/>
      <c r="I49" s="353"/>
      <c r="J49" s="433"/>
    </row>
    <row r="50" ht="17.25" customHeight="1">
      <c r="A50" s="433"/>
      <c r="B50" s="456"/>
      <c r="C50" s="433"/>
      <c r="D50" s="433"/>
      <c r="E50" s="460"/>
      <c r="F50" s="351"/>
      <c r="G50" s="456"/>
      <c r="H50" s="433"/>
      <c r="I50" s="353"/>
      <c r="J50" s="433"/>
    </row>
    <row r="51" ht="17.25" customHeight="1">
      <c r="A51" s="433"/>
      <c r="B51" s="456"/>
      <c r="C51" s="433"/>
      <c r="D51" s="433"/>
      <c r="E51" s="460"/>
      <c r="F51" s="351"/>
      <c r="G51" s="456"/>
      <c r="H51" s="433"/>
      <c r="I51" s="353"/>
      <c r="J51" s="433"/>
    </row>
    <row r="52" ht="17.25" customHeight="1">
      <c r="A52" s="433"/>
      <c r="B52" s="456"/>
      <c r="C52" s="433"/>
      <c r="D52" s="433"/>
      <c r="E52" s="460"/>
      <c r="F52" s="351"/>
      <c r="G52" s="456"/>
      <c r="H52" s="433"/>
      <c r="I52" s="353"/>
      <c r="J52" s="433"/>
    </row>
    <row r="53" ht="17.25" customHeight="1">
      <c r="A53" s="433"/>
      <c r="B53" s="456"/>
      <c r="C53" s="433"/>
      <c r="D53" s="433"/>
      <c r="E53" s="460"/>
      <c r="F53" s="351"/>
      <c r="G53" s="456"/>
      <c r="H53" s="433"/>
      <c r="I53" s="353"/>
      <c r="J53" s="433"/>
    </row>
    <row r="54" ht="17.25" customHeight="1">
      <c r="A54" s="433"/>
      <c r="B54" s="456"/>
      <c r="C54" s="433"/>
      <c r="D54" s="433"/>
      <c r="E54" s="460"/>
      <c r="F54" s="351"/>
      <c r="G54" s="456"/>
      <c r="H54" s="433"/>
      <c r="I54" s="353"/>
      <c r="J54" s="433"/>
    </row>
    <row r="55" ht="17.25" customHeight="1">
      <c r="A55" s="433"/>
      <c r="B55" s="456"/>
      <c r="C55" s="433"/>
      <c r="D55" s="433"/>
      <c r="E55" s="460"/>
      <c r="F55" s="351"/>
      <c r="G55" s="456"/>
      <c r="H55" s="433"/>
      <c r="I55" s="353"/>
      <c r="J55" s="433"/>
    </row>
    <row r="56" ht="17.25" customHeight="1">
      <c r="A56" s="433"/>
      <c r="B56" s="456"/>
      <c r="C56" s="433"/>
      <c r="D56" s="433"/>
      <c r="E56" s="460"/>
      <c r="F56" s="351"/>
      <c r="G56" s="456"/>
      <c r="H56" s="433"/>
      <c r="I56" s="353"/>
      <c r="J56" s="433"/>
    </row>
    <row r="57" ht="17.25" customHeight="1">
      <c r="A57" s="433"/>
      <c r="B57" s="456"/>
      <c r="C57" s="433"/>
      <c r="D57" s="433"/>
      <c r="E57" s="460"/>
      <c r="F57" s="351"/>
      <c r="G57" s="456"/>
      <c r="H57" s="433"/>
      <c r="I57" s="353"/>
      <c r="J57" s="433"/>
    </row>
    <row r="58" ht="17.25" customHeight="1">
      <c r="A58" s="433"/>
      <c r="B58" s="456"/>
      <c r="C58" s="433"/>
      <c r="D58" s="433"/>
      <c r="E58" s="460"/>
      <c r="F58" s="351"/>
      <c r="G58" s="456"/>
      <c r="H58" s="433"/>
      <c r="I58" s="353"/>
      <c r="J58" s="433"/>
    </row>
    <row r="59" ht="17.25" customHeight="1">
      <c r="A59" s="433"/>
      <c r="B59" s="456"/>
      <c r="C59" s="433"/>
      <c r="D59" s="433"/>
      <c r="E59" s="460"/>
      <c r="F59" s="351"/>
      <c r="G59" s="456"/>
      <c r="H59" s="433"/>
      <c r="I59" s="353"/>
      <c r="J59" s="433"/>
    </row>
    <row r="60" ht="17.25" customHeight="1">
      <c r="A60" s="433"/>
      <c r="B60" s="456"/>
      <c r="C60" s="433"/>
      <c r="D60" s="433"/>
      <c r="E60" s="460"/>
      <c r="F60" s="351"/>
      <c r="G60" s="456"/>
      <c r="H60" s="433"/>
      <c r="I60" s="353"/>
      <c r="J60" s="433"/>
    </row>
    <row r="61" ht="17.25" customHeight="1">
      <c r="A61" s="433"/>
      <c r="B61" s="456"/>
      <c r="C61" s="433"/>
      <c r="D61" s="433"/>
      <c r="E61" s="460"/>
      <c r="F61" s="351"/>
      <c r="G61" s="456"/>
      <c r="H61" s="433"/>
      <c r="I61" s="353"/>
      <c r="J61" s="433"/>
    </row>
    <row r="62" ht="17.25" customHeight="1">
      <c r="A62" s="433"/>
      <c r="B62" s="456"/>
      <c r="C62" s="433"/>
      <c r="D62" s="433"/>
      <c r="E62" s="460"/>
      <c r="F62" s="351"/>
      <c r="G62" s="456"/>
      <c r="H62" s="433"/>
      <c r="I62" s="353"/>
      <c r="J62" s="433"/>
    </row>
    <row r="63" ht="17.25" customHeight="1">
      <c r="A63" s="433"/>
      <c r="B63" s="456"/>
      <c r="C63" s="433"/>
      <c r="D63" s="433"/>
      <c r="E63" s="460"/>
      <c r="F63" s="351"/>
      <c r="G63" s="456"/>
      <c r="H63" s="433"/>
      <c r="I63" s="353"/>
      <c r="J63" s="433"/>
    </row>
    <row r="64" ht="17.25" customHeight="1">
      <c r="A64" s="433"/>
      <c r="B64" s="456"/>
      <c r="C64" s="433"/>
      <c r="D64" s="433"/>
      <c r="E64" s="460"/>
      <c r="F64" s="351"/>
      <c r="G64" s="456"/>
      <c r="H64" s="433"/>
      <c r="I64" s="353"/>
      <c r="J64" s="433"/>
    </row>
    <row r="65" ht="17.25" customHeight="1">
      <c r="A65" s="433"/>
      <c r="B65" s="456"/>
      <c r="C65" s="433"/>
      <c r="D65" s="433"/>
      <c r="E65" s="460"/>
      <c r="F65" s="351"/>
      <c r="G65" s="456"/>
      <c r="H65" s="433"/>
      <c r="I65" s="353"/>
      <c r="J65" s="433"/>
    </row>
    <row r="66" ht="17.25" customHeight="1">
      <c r="A66" s="433"/>
      <c r="B66" s="456"/>
      <c r="C66" s="433"/>
      <c r="D66" s="433"/>
      <c r="E66" s="460"/>
      <c r="F66" s="351"/>
      <c r="G66" s="456"/>
      <c r="H66" s="433"/>
      <c r="I66" s="353"/>
      <c r="J66" s="433"/>
    </row>
    <row r="67" ht="17.25" customHeight="1">
      <c r="A67" s="433"/>
      <c r="B67" s="456"/>
      <c r="C67" s="433"/>
      <c r="D67" s="433"/>
      <c r="E67" s="460"/>
      <c r="F67" s="351"/>
      <c r="G67" s="456"/>
      <c r="H67" s="433"/>
      <c r="I67" s="353"/>
      <c r="J67" s="433"/>
    </row>
    <row r="68" ht="17.25" customHeight="1">
      <c r="A68" s="433"/>
      <c r="B68" s="456"/>
      <c r="C68" s="433"/>
      <c r="D68" s="433"/>
      <c r="E68" s="460"/>
      <c r="F68" s="351"/>
      <c r="G68" s="456"/>
      <c r="H68" s="433"/>
      <c r="I68" s="353"/>
      <c r="J68" s="433"/>
    </row>
    <row r="69" ht="17.25" customHeight="1">
      <c r="A69" s="433"/>
      <c r="B69" s="456"/>
      <c r="C69" s="433"/>
      <c r="D69" s="433"/>
      <c r="E69" s="460"/>
      <c r="F69" s="351"/>
      <c r="G69" s="456"/>
      <c r="H69" s="433"/>
      <c r="I69" s="353"/>
      <c r="J69" s="433"/>
    </row>
    <row r="70" ht="17.25" customHeight="1">
      <c r="A70" s="433"/>
      <c r="B70" s="456"/>
      <c r="C70" s="433"/>
      <c r="D70" s="433"/>
      <c r="E70" s="460"/>
      <c r="F70" s="351"/>
      <c r="G70" s="456"/>
      <c r="H70" s="433"/>
      <c r="I70" s="353"/>
      <c r="J70" s="433"/>
    </row>
    <row r="71" ht="17.25" customHeight="1">
      <c r="A71" s="433"/>
      <c r="B71" s="456"/>
      <c r="C71" s="433"/>
      <c r="D71" s="433"/>
      <c r="E71" s="460"/>
      <c r="F71" s="351"/>
      <c r="G71" s="456"/>
      <c r="H71" s="433"/>
      <c r="I71" s="353"/>
      <c r="J71" s="433"/>
    </row>
    <row r="72" ht="17.25" customHeight="1">
      <c r="A72" s="433"/>
      <c r="B72" s="456"/>
      <c r="C72" s="433"/>
      <c r="D72" s="433"/>
      <c r="E72" s="460"/>
      <c r="F72" s="351"/>
      <c r="G72" s="456"/>
      <c r="H72" s="433"/>
      <c r="I72" s="353"/>
      <c r="J72" s="433"/>
    </row>
    <row r="73" ht="17.25" customHeight="1">
      <c r="A73" s="433"/>
      <c r="B73" s="456"/>
      <c r="C73" s="433"/>
      <c r="D73" s="433"/>
      <c r="E73" s="460"/>
      <c r="F73" s="351"/>
      <c r="G73" s="456"/>
      <c r="H73" s="433"/>
      <c r="I73" s="353"/>
      <c r="J73" s="433"/>
    </row>
    <row r="74" ht="17.25" customHeight="1">
      <c r="A74" s="433"/>
      <c r="B74" s="456"/>
      <c r="C74" s="433"/>
      <c r="D74" s="433"/>
      <c r="E74" s="460"/>
      <c r="F74" s="351"/>
      <c r="G74" s="456"/>
      <c r="H74" s="433"/>
      <c r="I74" s="353"/>
      <c r="J74" s="433"/>
    </row>
    <row r="75" ht="17.25" customHeight="1">
      <c r="A75" s="433"/>
      <c r="B75" s="456"/>
      <c r="C75" s="433"/>
      <c r="D75" s="433"/>
      <c r="E75" s="460"/>
      <c r="F75" s="351"/>
      <c r="G75" s="456"/>
      <c r="H75" s="433"/>
      <c r="I75" s="353"/>
      <c r="J75" s="433"/>
    </row>
    <row r="76" ht="17.25" customHeight="1">
      <c r="A76" s="433"/>
      <c r="B76" s="456"/>
      <c r="C76" s="433"/>
      <c r="D76" s="433"/>
      <c r="E76" s="460"/>
      <c r="F76" s="351"/>
      <c r="G76" s="456"/>
      <c r="H76" s="433"/>
      <c r="I76" s="353"/>
      <c r="J76" s="433"/>
    </row>
    <row r="77" ht="17.25" customHeight="1">
      <c r="A77" s="433"/>
      <c r="B77" s="456"/>
      <c r="C77" s="433"/>
      <c r="D77" s="433"/>
      <c r="E77" s="460"/>
      <c r="F77" s="351"/>
      <c r="G77" s="456"/>
      <c r="H77" s="433"/>
      <c r="I77" s="353"/>
      <c r="J77" s="433"/>
    </row>
    <row r="78" ht="17.25" customHeight="1">
      <c r="A78" s="433"/>
      <c r="B78" s="456"/>
      <c r="C78" s="433"/>
      <c r="D78" s="433"/>
      <c r="E78" s="460"/>
      <c r="F78" s="351"/>
      <c r="G78" s="456"/>
      <c r="H78" s="433"/>
      <c r="I78" s="353"/>
      <c r="J78" s="433"/>
    </row>
    <row r="79" ht="17.25" customHeight="1">
      <c r="A79" s="433"/>
      <c r="B79" s="456"/>
      <c r="C79" s="433"/>
      <c r="D79" s="433"/>
      <c r="E79" s="460"/>
      <c r="F79" s="351"/>
      <c r="G79" s="456"/>
      <c r="H79" s="433"/>
      <c r="I79" s="353"/>
      <c r="J79" s="433"/>
    </row>
    <row r="80" ht="17.25" customHeight="1">
      <c r="A80" s="433"/>
      <c r="B80" s="456"/>
      <c r="C80" s="433"/>
      <c r="D80" s="433"/>
      <c r="E80" s="460"/>
      <c r="F80" s="351"/>
      <c r="G80" s="456"/>
      <c r="H80" s="433"/>
      <c r="I80" s="353"/>
      <c r="J80" s="433"/>
    </row>
    <row r="81" ht="17.25" customHeight="1">
      <c r="A81" s="433"/>
      <c r="B81" s="456"/>
      <c r="C81" s="433"/>
      <c r="D81" s="433"/>
      <c r="E81" s="460"/>
      <c r="F81" s="351"/>
      <c r="G81" s="456"/>
      <c r="H81" s="433"/>
      <c r="I81" s="353"/>
      <c r="J81" s="433"/>
    </row>
    <row r="82" ht="17.25" customHeight="1">
      <c r="A82" s="433"/>
      <c r="B82" s="456"/>
      <c r="C82" s="433"/>
      <c r="D82" s="433"/>
      <c r="E82" s="460"/>
      <c r="F82" s="351"/>
      <c r="G82" s="456"/>
      <c r="H82" s="433"/>
      <c r="I82" s="353"/>
      <c r="J82" s="433"/>
    </row>
    <row r="83" ht="17.25" customHeight="1">
      <c r="A83" s="433"/>
      <c r="B83" s="456"/>
      <c r="C83" s="433"/>
      <c r="D83" s="433"/>
      <c r="E83" s="460"/>
      <c r="F83" s="351"/>
      <c r="G83" s="456"/>
      <c r="H83" s="433"/>
      <c r="I83" s="353"/>
      <c r="J83" s="433"/>
    </row>
    <row r="84" ht="17.25" customHeight="1">
      <c r="A84" s="433"/>
      <c r="B84" s="456"/>
      <c r="C84" s="433"/>
      <c r="D84" s="433"/>
      <c r="E84" s="460"/>
      <c r="F84" s="351"/>
      <c r="G84" s="456"/>
      <c r="H84" s="433"/>
      <c r="I84" s="353"/>
      <c r="J84" s="433"/>
    </row>
    <row r="85" ht="17.25" customHeight="1">
      <c r="A85" s="433"/>
      <c r="B85" s="456"/>
      <c r="C85" s="433"/>
      <c r="D85" s="433"/>
      <c r="E85" s="460"/>
      <c r="F85" s="351"/>
      <c r="G85" s="456"/>
      <c r="H85" s="433"/>
      <c r="I85" s="353"/>
      <c r="J85" s="433"/>
    </row>
    <row r="86" ht="17.25" customHeight="1">
      <c r="A86" s="433"/>
      <c r="B86" s="456"/>
      <c r="C86" s="433"/>
      <c r="D86" s="433"/>
      <c r="E86" s="460"/>
      <c r="F86" s="351"/>
      <c r="G86" s="456"/>
      <c r="H86" s="433"/>
      <c r="I86" s="353"/>
      <c r="J86" s="433"/>
    </row>
    <row r="87" ht="17.25" customHeight="1">
      <c r="A87" s="433"/>
      <c r="B87" s="456"/>
      <c r="C87" s="433"/>
      <c r="D87" s="433"/>
      <c r="E87" s="460"/>
      <c r="F87" s="351"/>
      <c r="G87" s="456"/>
      <c r="H87" s="433"/>
      <c r="I87" s="353"/>
      <c r="J87" s="433"/>
    </row>
    <row r="88" ht="17.25" customHeight="1">
      <c r="A88" s="433"/>
      <c r="B88" s="456"/>
      <c r="C88" s="433"/>
      <c r="D88" s="433"/>
      <c r="E88" s="460"/>
      <c r="F88" s="351"/>
      <c r="G88" s="456"/>
      <c r="H88" s="433"/>
      <c r="I88" s="353"/>
      <c r="J88" s="433"/>
    </row>
    <row r="89" ht="17.25" customHeight="1">
      <c r="A89" s="433"/>
      <c r="B89" s="456"/>
      <c r="C89" s="433"/>
      <c r="D89" s="433"/>
      <c r="E89" s="460"/>
      <c r="F89" s="351"/>
      <c r="G89" s="456"/>
      <c r="H89" s="433"/>
      <c r="I89" s="353"/>
      <c r="J89" s="433"/>
    </row>
    <row r="90" ht="17.25" customHeight="1">
      <c r="A90" s="433"/>
      <c r="B90" s="456"/>
      <c r="C90" s="433"/>
      <c r="D90" s="433"/>
      <c r="E90" s="460"/>
      <c r="F90" s="351"/>
      <c r="G90" s="456"/>
      <c r="H90" s="433"/>
      <c r="I90" s="353"/>
      <c r="J90" s="433"/>
    </row>
    <row r="91" ht="17.25" customHeight="1">
      <c r="A91" s="433"/>
      <c r="B91" s="456"/>
      <c r="C91" s="433"/>
      <c r="D91" s="433"/>
      <c r="E91" s="460"/>
      <c r="F91" s="351"/>
      <c r="G91" s="456"/>
      <c r="H91" s="433"/>
      <c r="I91" s="353"/>
      <c r="J91" s="433"/>
    </row>
    <row r="92" ht="17.25" customHeight="1">
      <c r="A92" s="433"/>
      <c r="B92" s="456"/>
      <c r="C92" s="433"/>
      <c r="D92" s="433"/>
      <c r="E92" s="460"/>
      <c r="F92" s="351"/>
      <c r="G92" s="456"/>
      <c r="H92" s="433"/>
      <c r="I92" s="353"/>
      <c r="J92" s="433"/>
    </row>
    <row r="93" ht="17.25" customHeight="1">
      <c r="A93" s="433"/>
      <c r="B93" s="456"/>
      <c r="C93" s="433"/>
      <c r="D93" s="433"/>
      <c r="E93" s="460"/>
      <c r="F93" s="351"/>
      <c r="G93" s="456"/>
      <c r="H93" s="433"/>
      <c r="I93" s="353"/>
      <c r="J93" s="433"/>
    </row>
    <row r="94" ht="17.25" customHeight="1">
      <c r="A94" s="433"/>
      <c r="B94" s="456"/>
      <c r="C94" s="433"/>
      <c r="D94" s="433"/>
      <c r="E94" s="460"/>
      <c r="F94" s="351"/>
      <c r="G94" s="456"/>
      <c r="H94" s="433"/>
      <c r="I94" s="353"/>
      <c r="J94" s="433"/>
    </row>
    <row r="95" ht="17.25" customHeight="1">
      <c r="A95" s="433"/>
      <c r="B95" s="456"/>
      <c r="C95" s="433"/>
      <c r="D95" s="433"/>
      <c r="E95" s="460"/>
      <c r="F95" s="351"/>
      <c r="G95" s="456"/>
      <c r="H95" s="433"/>
      <c r="I95" s="353"/>
      <c r="J95" s="433"/>
    </row>
    <row r="96" ht="17.25" customHeight="1">
      <c r="A96" s="433"/>
      <c r="B96" s="456"/>
      <c r="C96" s="433"/>
      <c r="D96" s="433"/>
      <c r="E96" s="460"/>
      <c r="F96" s="351"/>
      <c r="G96" s="456"/>
      <c r="H96" s="433"/>
      <c r="I96" s="353"/>
      <c r="J96" s="433"/>
    </row>
    <row r="97" ht="17.25" customHeight="1">
      <c r="A97" s="433"/>
      <c r="B97" s="456"/>
      <c r="C97" s="433"/>
      <c r="D97" s="433"/>
      <c r="E97" s="460"/>
      <c r="F97" s="351"/>
      <c r="G97" s="456"/>
      <c r="H97" s="433"/>
      <c r="I97" s="353"/>
      <c r="J97" s="433"/>
    </row>
    <row r="98" ht="17.25" customHeight="1">
      <c r="A98" s="433"/>
      <c r="B98" s="456"/>
      <c r="C98" s="433"/>
      <c r="D98" s="433"/>
      <c r="E98" s="460"/>
      <c r="F98" s="351"/>
      <c r="G98" s="456"/>
      <c r="H98" s="433"/>
      <c r="I98" s="353"/>
      <c r="J98" s="433"/>
    </row>
    <row r="99" ht="17.25" customHeight="1">
      <c r="A99" s="433"/>
      <c r="B99" s="456"/>
      <c r="C99" s="433"/>
      <c r="D99" s="433"/>
      <c r="E99" s="460"/>
      <c r="F99" s="351"/>
      <c r="G99" s="456"/>
      <c r="H99" s="433"/>
      <c r="I99" s="353"/>
      <c r="J99" s="433"/>
    </row>
    <row r="100" ht="17.25" customHeight="1">
      <c r="A100" s="433"/>
      <c r="B100" s="456"/>
      <c r="C100" s="433"/>
      <c r="D100" s="433"/>
      <c r="E100" s="460"/>
      <c r="F100" s="351"/>
      <c r="G100" s="456"/>
      <c r="H100" s="433"/>
      <c r="I100" s="353"/>
      <c r="J100" s="433"/>
    </row>
    <row r="101" ht="17.25" customHeight="1">
      <c r="A101" s="433"/>
      <c r="B101" s="456"/>
      <c r="C101" s="433"/>
      <c r="D101" s="433"/>
      <c r="E101" s="460"/>
      <c r="F101" s="351"/>
      <c r="G101" s="456"/>
      <c r="H101" s="433"/>
      <c r="I101" s="353"/>
      <c r="J101" s="433"/>
    </row>
    <row r="102" ht="17.25" customHeight="1">
      <c r="A102" s="433"/>
      <c r="B102" s="456"/>
      <c r="C102" s="433"/>
      <c r="D102" s="433"/>
      <c r="E102" s="460"/>
      <c r="F102" s="351"/>
      <c r="G102" s="456"/>
      <c r="H102" s="433"/>
      <c r="I102" s="353"/>
      <c r="J102" s="433"/>
    </row>
    <row r="103" ht="17.25" customHeight="1">
      <c r="A103" s="433"/>
      <c r="B103" s="456"/>
      <c r="C103" s="433"/>
      <c r="D103" s="433"/>
      <c r="E103" s="460"/>
      <c r="F103" s="351"/>
      <c r="G103" s="456"/>
      <c r="H103" s="433"/>
      <c r="I103" s="353"/>
      <c r="J103" s="433"/>
    </row>
    <row r="104" ht="17.25" customHeight="1">
      <c r="A104" s="433"/>
      <c r="B104" s="456"/>
      <c r="C104" s="433"/>
      <c r="D104" s="433"/>
      <c r="E104" s="460"/>
      <c r="F104" s="351"/>
      <c r="G104" s="456"/>
      <c r="H104" s="433"/>
      <c r="I104" s="353"/>
      <c r="J104" s="433"/>
    </row>
    <row r="105" ht="17.25" customHeight="1">
      <c r="A105" s="433"/>
      <c r="B105" s="456"/>
      <c r="C105" s="433"/>
      <c r="D105" s="433"/>
      <c r="E105" s="460"/>
      <c r="F105" s="351"/>
      <c r="G105" s="456"/>
      <c r="H105" s="433"/>
      <c r="I105" s="353"/>
      <c r="J105" s="433"/>
    </row>
    <row r="106" ht="17.25" customHeight="1">
      <c r="A106" s="433"/>
      <c r="B106" s="456"/>
      <c r="C106" s="433"/>
      <c r="D106" s="433"/>
      <c r="E106" s="460"/>
      <c r="F106" s="351"/>
      <c r="G106" s="456"/>
      <c r="H106" s="433"/>
      <c r="I106" s="353"/>
      <c r="J106" s="433"/>
    </row>
    <row r="107" ht="17.25" customHeight="1">
      <c r="A107" s="433"/>
      <c r="B107" s="456"/>
      <c r="C107" s="433"/>
      <c r="D107" s="433"/>
      <c r="E107" s="460"/>
      <c r="F107" s="351"/>
      <c r="G107" s="456"/>
      <c r="H107" s="433"/>
      <c r="I107" s="353"/>
      <c r="J107" s="433"/>
    </row>
    <row r="108" ht="17.25" customHeight="1">
      <c r="A108" s="433"/>
      <c r="B108" s="456"/>
      <c r="C108" s="433"/>
      <c r="D108" s="433"/>
      <c r="E108" s="460"/>
      <c r="F108" s="351"/>
      <c r="G108" s="456"/>
      <c r="H108" s="433"/>
      <c r="I108" s="353"/>
      <c r="J108" s="433"/>
    </row>
    <row r="109" ht="17.25" customHeight="1">
      <c r="A109" s="433"/>
      <c r="B109" s="456"/>
      <c r="C109" s="433"/>
      <c r="D109" s="433"/>
      <c r="E109" s="460"/>
      <c r="F109" s="351"/>
      <c r="G109" s="456"/>
      <c r="H109" s="433"/>
      <c r="I109" s="353"/>
      <c r="J109" s="433"/>
    </row>
    <row r="110" ht="17.25" customHeight="1">
      <c r="A110" s="433"/>
      <c r="B110" s="456"/>
      <c r="C110" s="433"/>
      <c r="D110" s="433"/>
      <c r="E110" s="460"/>
      <c r="F110" s="351"/>
      <c r="G110" s="456"/>
      <c r="H110" s="433"/>
      <c r="I110" s="353"/>
      <c r="J110" s="433"/>
    </row>
    <row r="111" ht="17.25" customHeight="1">
      <c r="A111" s="433"/>
      <c r="B111" s="456"/>
      <c r="C111" s="433"/>
      <c r="D111" s="433"/>
      <c r="E111" s="460"/>
      <c r="F111" s="351"/>
      <c r="G111" s="456"/>
      <c r="H111" s="433"/>
      <c r="I111" s="353"/>
      <c r="J111" s="433"/>
    </row>
    <row r="112" ht="17.25" customHeight="1">
      <c r="A112" s="433"/>
      <c r="B112" s="456"/>
      <c r="C112" s="433"/>
      <c r="D112" s="433"/>
      <c r="E112" s="460"/>
      <c r="F112" s="351"/>
      <c r="G112" s="456"/>
      <c r="H112" s="433"/>
      <c r="I112" s="353"/>
      <c r="J112" s="433"/>
    </row>
    <row r="113" ht="17.25" customHeight="1">
      <c r="A113" s="433"/>
      <c r="B113" s="456"/>
      <c r="C113" s="433"/>
      <c r="D113" s="433"/>
      <c r="E113" s="460"/>
      <c r="F113" s="351"/>
      <c r="G113" s="456"/>
      <c r="H113" s="433"/>
      <c r="I113" s="353"/>
      <c r="J113" s="433"/>
    </row>
    <row r="114" ht="17.25" customHeight="1">
      <c r="A114" s="433"/>
      <c r="B114" s="456"/>
      <c r="C114" s="433"/>
      <c r="D114" s="433"/>
      <c r="E114" s="460"/>
      <c r="F114" s="351"/>
      <c r="G114" s="456"/>
      <c r="H114" s="433"/>
      <c r="I114" s="353"/>
      <c r="J114" s="433"/>
    </row>
    <row r="115" ht="17.25" customHeight="1">
      <c r="A115" s="433"/>
      <c r="B115" s="456"/>
      <c r="C115" s="433"/>
      <c r="D115" s="433"/>
      <c r="E115" s="460"/>
      <c r="F115" s="351"/>
      <c r="G115" s="456"/>
      <c r="H115" s="433"/>
      <c r="I115" s="353"/>
      <c r="J115" s="433"/>
    </row>
    <row r="116" ht="17.25" customHeight="1">
      <c r="A116" s="433"/>
      <c r="B116" s="456"/>
      <c r="C116" s="433"/>
      <c r="D116" s="433"/>
      <c r="E116" s="460"/>
      <c r="F116" s="351"/>
      <c r="G116" s="456"/>
      <c r="H116" s="433"/>
      <c r="I116" s="353"/>
      <c r="J116" s="433"/>
    </row>
    <row r="117" ht="17.25" customHeight="1">
      <c r="A117" s="433"/>
      <c r="B117" s="456"/>
      <c r="C117" s="433"/>
      <c r="D117" s="433"/>
      <c r="E117" s="460"/>
      <c r="F117" s="351"/>
      <c r="G117" s="456"/>
      <c r="H117" s="433"/>
      <c r="I117" s="353"/>
      <c r="J117" s="433"/>
    </row>
    <row r="118" ht="17.25" customHeight="1">
      <c r="A118" s="433"/>
      <c r="B118" s="456"/>
      <c r="C118" s="433"/>
      <c r="D118" s="433"/>
      <c r="E118" s="460"/>
      <c r="F118" s="351"/>
      <c r="G118" s="456"/>
      <c r="H118" s="433"/>
      <c r="I118" s="353"/>
      <c r="J118" s="433"/>
    </row>
    <row r="119" ht="17.25" customHeight="1">
      <c r="A119" s="433"/>
      <c r="B119" s="456"/>
      <c r="C119" s="433"/>
      <c r="D119" s="433"/>
      <c r="E119" s="460"/>
      <c r="F119" s="351"/>
      <c r="G119" s="456"/>
      <c r="H119" s="433"/>
      <c r="I119" s="353"/>
      <c r="J119" s="433"/>
    </row>
    <row r="120">
      <c r="A120" s="433"/>
      <c r="B120" s="456"/>
      <c r="C120" s="433"/>
      <c r="D120" s="433"/>
      <c r="E120" s="460"/>
      <c r="F120" s="351"/>
      <c r="G120" s="456"/>
      <c r="H120" s="433"/>
      <c r="I120" s="353"/>
      <c r="J120" s="433"/>
    </row>
    <row r="121">
      <c r="A121" s="433"/>
      <c r="B121" s="456"/>
      <c r="C121" s="433"/>
      <c r="D121" s="433"/>
      <c r="E121" s="460"/>
      <c r="F121" s="351"/>
      <c r="G121" s="456"/>
      <c r="H121" s="433"/>
      <c r="I121" s="353"/>
      <c r="J121" s="433"/>
    </row>
    <row r="122">
      <c r="A122" s="433"/>
      <c r="B122" s="456"/>
      <c r="C122" s="433"/>
      <c r="D122" s="433"/>
      <c r="E122" s="460"/>
      <c r="F122" s="351"/>
      <c r="G122" s="456"/>
      <c r="H122" s="433"/>
      <c r="I122" s="353"/>
      <c r="J122" s="433"/>
    </row>
    <row r="123">
      <c r="A123" s="433"/>
      <c r="B123" s="456"/>
      <c r="C123" s="433"/>
      <c r="D123" s="433"/>
      <c r="E123" s="460"/>
      <c r="F123" s="351"/>
      <c r="G123" s="456"/>
      <c r="H123" s="433"/>
      <c r="I123" s="353"/>
      <c r="J123" s="433"/>
    </row>
    <row r="124">
      <c r="A124" s="433"/>
      <c r="B124" s="456"/>
      <c r="C124" s="433"/>
      <c r="D124" s="433"/>
      <c r="E124" s="460"/>
      <c r="F124" s="351"/>
      <c r="G124" s="456"/>
      <c r="H124" s="433"/>
      <c r="I124" s="353"/>
      <c r="J124" s="433"/>
    </row>
    <row r="125">
      <c r="A125" s="433"/>
      <c r="B125" s="456"/>
      <c r="C125" s="433"/>
      <c r="D125" s="433"/>
      <c r="E125" s="460"/>
      <c r="F125" s="351"/>
      <c r="G125" s="456"/>
      <c r="H125" s="433"/>
      <c r="I125" s="353"/>
      <c r="J125" s="433"/>
    </row>
    <row r="126">
      <c r="A126" s="433"/>
      <c r="B126" s="456"/>
      <c r="C126" s="433"/>
      <c r="D126" s="433"/>
      <c r="E126" s="460"/>
      <c r="F126" s="351"/>
      <c r="G126" s="456"/>
      <c r="H126" s="433"/>
      <c r="I126" s="353"/>
      <c r="J126" s="433"/>
    </row>
    <row r="127">
      <c r="A127" s="433"/>
      <c r="B127" s="456"/>
      <c r="C127" s="433"/>
      <c r="D127" s="433"/>
      <c r="E127" s="460"/>
      <c r="F127" s="351"/>
      <c r="G127" s="456"/>
      <c r="H127" s="433"/>
      <c r="I127" s="353"/>
      <c r="J127" s="433"/>
    </row>
    <row r="128">
      <c r="A128" s="433"/>
      <c r="B128" s="456"/>
      <c r="C128" s="433"/>
      <c r="D128" s="433"/>
      <c r="E128" s="460"/>
      <c r="F128" s="351"/>
      <c r="G128" s="456"/>
      <c r="H128" s="433"/>
      <c r="I128" s="353"/>
      <c r="J128" s="433"/>
    </row>
    <row r="129">
      <c r="A129" s="433"/>
      <c r="B129" s="456"/>
      <c r="C129" s="433"/>
      <c r="D129" s="433"/>
      <c r="E129" s="460"/>
      <c r="F129" s="351"/>
      <c r="G129" s="456"/>
      <c r="H129" s="433"/>
      <c r="I129" s="353"/>
      <c r="J129" s="433"/>
    </row>
    <row r="130">
      <c r="A130" s="433"/>
      <c r="B130" s="456"/>
      <c r="C130" s="433"/>
      <c r="D130" s="433"/>
      <c r="E130" s="460"/>
      <c r="F130" s="351"/>
      <c r="G130" s="456"/>
      <c r="H130" s="433"/>
      <c r="I130" s="353"/>
      <c r="J130" s="433"/>
    </row>
    <row r="131">
      <c r="A131" s="433"/>
      <c r="B131" s="456"/>
      <c r="C131" s="433"/>
      <c r="D131" s="433"/>
      <c r="E131" s="460"/>
      <c r="F131" s="351"/>
      <c r="G131" s="456"/>
      <c r="H131" s="433"/>
      <c r="I131" s="353"/>
      <c r="J131" s="433"/>
    </row>
    <row r="132">
      <c r="A132" s="433"/>
      <c r="B132" s="456"/>
      <c r="C132" s="433"/>
      <c r="D132" s="433"/>
      <c r="E132" s="460"/>
      <c r="F132" s="351"/>
      <c r="G132" s="456"/>
      <c r="H132" s="433"/>
      <c r="I132" s="353"/>
      <c r="J132" s="433"/>
    </row>
    <row r="133">
      <c r="A133" s="433"/>
      <c r="B133" s="456"/>
      <c r="C133" s="433"/>
      <c r="D133" s="433"/>
      <c r="E133" s="460"/>
      <c r="F133" s="351"/>
      <c r="G133" s="456"/>
      <c r="H133" s="433"/>
      <c r="I133" s="353"/>
      <c r="J133" s="433"/>
    </row>
    <row r="134">
      <c r="A134" s="433"/>
      <c r="B134" s="456"/>
      <c r="C134" s="433"/>
      <c r="D134" s="433"/>
      <c r="E134" s="460"/>
      <c r="F134" s="351"/>
      <c r="G134" s="456"/>
      <c r="H134" s="433"/>
      <c r="I134" s="353"/>
      <c r="J134" s="433"/>
    </row>
    <row r="135">
      <c r="A135" s="433"/>
      <c r="B135" s="456"/>
      <c r="C135" s="433"/>
      <c r="D135" s="433"/>
      <c r="E135" s="460"/>
      <c r="F135" s="351"/>
      <c r="G135" s="456"/>
      <c r="H135" s="433"/>
      <c r="I135" s="353"/>
      <c r="J135" s="433"/>
    </row>
    <row r="136">
      <c r="A136" s="433"/>
      <c r="B136" s="456"/>
      <c r="C136" s="433"/>
      <c r="D136" s="433"/>
      <c r="E136" s="460"/>
      <c r="F136" s="351"/>
      <c r="G136" s="456"/>
      <c r="H136" s="433"/>
      <c r="I136" s="353"/>
      <c r="J136" s="433"/>
    </row>
    <row r="137">
      <c r="A137" s="433"/>
      <c r="B137" s="456"/>
      <c r="C137" s="433"/>
      <c r="D137" s="433"/>
      <c r="E137" s="460"/>
      <c r="F137" s="351"/>
      <c r="G137" s="456"/>
      <c r="H137" s="433"/>
      <c r="I137" s="353"/>
      <c r="J137" s="433"/>
    </row>
    <row r="138">
      <c r="A138" s="433"/>
      <c r="B138" s="456"/>
      <c r="C138" s="433"/>
      <c r="D138" s="433"/>
      <c r="E138" s="460"/>
      <c r="F138" s="351"/>
      <c r="G138" s="456"/>
      <c r="H138" s="433"/>
      <c r="I138" s="353"/>
      <c r="J138" s="433"/>
    </row>
    <row r="139">
      <c r="A139" s="433"/>
      <c r="B139" s="456"/>
      <c r="C139" s="433"/>
      <c r="D139" s="433"/>
      <c r="E139" s="460"/>
      <c r="F139" s="351"/>
      <c r="G139" s="456"/>
      <c r="H139" s="433"/>
      <c r="I139" s="353"/>
      <c r="J139" s="433"/>
    </row>
    <row r="140">
      <c r="A140" s="433"/>
      <c r="B140" s="456"/>
      <c r="C140" s="433"/>
      <c r="D140" s="433"/>
      <c r="E140" s="460"/>
      <c r="F140" s="351"/>
      <c r="G140" s="456"/>
      <c r="H140" s="433"/>
      <c r="I140" s="353"/>
      <c r="J140" s="433"/>
    </row>
    <row r="141">
      <c r="A141" s="433"/>
      <c r="B141" s="456"/>
      <c r="C141" s="433"/>
      <c r="D141" s="433"/>
      <c r="E141" s="460"/>
      <c r="F141" s="351"/>
      <c r="G141" s="456"/>
      <c r="H141" s="433"/>
      <c r="I141" s="353"/>
      <c r="J141" s="433"/>
    </row>
    <row r="142">
      <c r="A142" s="433"/>
      <c r="B142" s="456"/>
      <c r="C142" s="433"/>
      <c r="D142" s="433"/>
      <c r="E142" s="460"/>
      <c r="F142" s="351"/>
      <c r="G142" s="456"/>
      <c r="H142" s="433"/>
      <c r="I142" s="353"/>
      <c r="J142" s="433"/>
    </row>
    <row r="143">
      <c r="A143" s="433"/>
      <c r="B143" s="456"/>
      <c r="C143" s="433"/>
      <c r="D143" s="433"/>
      <c r="E143" s="460"/>
      <c r="F143" s="351"/>
      <c r="G143" s="456"/>
      <c r="H143" s="433"/>
      <c r="I143" s="353"/>
      <c r="J143" s="433"/>
    </row>
    <row r="144">
      <c r="A144" s="433"/>
      <c r="B144" s="456"/>
      <c r="C144" s="433"/>
      <c r="D144" s="433"/>
      <c r="E144" s="460"/>
      <c r="F144" s="351"/>
      <c r="G144" s="456"/>
      <c r="H144" s="433"/>
      <c r="I144" s="353"/>
      <c r="J144" s="433"/>
    </row>
    <row r="145">
      <c r="A145" s="433"/>
      <c r="B145" s="456"/>
      <c r="C145" s="433"/>
      <c r="D145" s="433"/>
      <c r="E145" s="460"/>
      <c r="F145" s="351"/>
      <c r="G145" s="456"/>
      <c r="H145" s="433"/>
      <c r="I145" s="353"/>
      <c r="J145" s="433"/>
    </row>
    <row r="146">
      <c r="A146" s="433"/>
      <c r="B146" s="456"/>
      <c r="C146" s="433"/>
      <c r="D146" s="433"/>
      <c r="E146" s="460"/>
      <c r="F146" s="351"/>
      <c r="G146" s="456"/>
      <c r="H146" s="433"/>
      <c r="I146" s="353"/>
      <c r="J146" s="433"/>
    </row>
    <row r="147">
      <c r="A147" s="433"/>
      <c r="B147" s="456"/>
      <c r="C147" s="433"/>
      <c r="D147" s="433"/>
      <c r="E147" s="460"/>
      <c r="F147" s="351"/>
      <c r="G147" s="456"/>
      <c r="H147" s="433"/>
      <c r="I147" s="353"/>
      <c r="J147" s="433"/>
    </row>
    <row r="148">
      <c r="A148" s="433"/>
      <c r="B148" s="456"/>
      <c r="C148" s="433"/>
      <c r="D148" s="433"/>
      <c r="E148" s="460"/>
      <c r="F148" s="351"/>
      <c r="G148" s="456"/>
      <c r="H148" s="433"/>
      <c r="I148" s="353"/>
      <c r="J148" s="433"/>
    </row>
    <row r="149">
      <c r="A149" s="433"/>
      <c r="B149" s="456"/>
      <c r="C149" s="433"/>
      <c r="D149" s="433"/>
      <c r="E149" s="460"/>
      <c r="F149" s="351"/>
      <c r="G149" s="456"/>
      <c r="H149" s="433"/>
      <c r="I149" s="353"/>
      <c r="J149" s="433"/>
    </row>
    <row r="150">
      <c r="A150" s="433"/>
      <c r="B150" s="456"/>
      <c r="C150" s="433"/>
      <c r="D150" s="433"/>
      <c r="E150" s="460"/>
      <c r="F150" s="351"/>
      <c r="G150" s="456"/>
      <c r="H150" s="433"/>
      <c r="I150" s="353"/>
      <c r="J150" s="433"/>
    </row>
    <row r="151">
      <c r="A151" s="433"/>
      <c r="B151" s="456"/>
      <c r="C151" s="433"/>
      <c r="D151" s="433"/>
      <c r="E151" s="460"/>
      <c r="F151" s="351"/>
      <c r="G151" s="456"/>
      <c r="H151" s="433"/>
      <c r="I151" s="353"/>
      <c r="J151" s="433"/>
    </row>
    <row r="152">
      <c r="A152" s="433"/>
      <c r="B152" s="456"/>
      <c r="C152" s="433"/>
      <c r="D152" s="433"/>
      <c r="E152" s="460"/>
      <c r="F152" s="351"/>
      <c r="G152" s="456"/>
      <c r="H152" s="433"/>
      <c r="I152" s="353"/>
      <c r="J152" s="433"/>
    </row>
    <row r="153">
      <c r="A153" s="433"/>
      <c r="B153" s="456"/>
      <c r="C153" s="433"/>
      <c r="D153" s="433"/>
      <c r="E153" s="460"/>
      <c r="F153" s="351"/>
      <c r="G153" s="456"/>
      <c r="H153" s="433"/>
      <c r="I153" s="353"/>
      <c r="J153" s="433"/>
    </row>
    <row r="154">
      <c r="A154" s="433"/>
      <c r="B154" s="456"/>
      <c r="C154" s="433"/>
      <c r="D154" s="433"/>
      <c r="E154" s="460"/>
      <c r="F154" s="351"/>
      <c r="G154" s="456"/>
      <c r="H154" s="433"/>
      <c r="I154" s="353"/>
      <c r="J154" s="433"/>
    </row>
    <row r="155">
      <c r="A155" s="433"/>
      <c r="B155" s="456"/>
      <c r="C155" s="433"/>
      <c r="D155" s="433"/>
      <c r="E155" s="460"/>
      <c r="F155" s="351"/>
      <c r="G155" s="456"/>
      <c r="H155" s="433"/>
      <c r="I155" s="353"/>
      <c r="J155" s="433"/>
    </row>
    <row r="156">
      <c r="A156" s="433"/>
      <c r="B156" s="456"/>
      <c r="C156" s="433"/>
      <c r="D156" s="433"/>
      <c r="E156" s="460"/>
      <c r="F156" s="351"/>
      <c r="G156" s="456"/>
      <c r="H156" s="433"/>
      <c r="I156" s="353"/>
      <c r="J156" s="433"/>
    </row>
    <row r="157">
      <c r="A157" s="433"/>
      <c r="B157" s="456"/>
      <c r="C157" s="433"/>
      <c r="D157" s="433"/>
      <c r="E157" s="460"/>
      <c r="F157" s="351"/>
      <c r="G157" s="456"/>
      <c r="H157" s="433"/>
      <c r="I157" s="353"/>
      <c r="J157" s="433"/>
    </row>
    <row r="158">
      <c r="A158" s="433"/>
      <c r="B158" s="456"/>
      <c r="C158" s="433"/>
      <c r="D158" s="433"/>
      <c r="E158" s="460"/>
      <c r="F158" s="351"/>
      <c r="G158" s="456"/>
      <c r="H158" s="433"/>
      <c r="I158" s="353"/>
      <c r="J158" s="433"/>
    </row>
    <row r="159">
      <c r="A159" s="433"/>
      <c r="B159" s="456"/>
      <c r="C159" s="433"/>
      <c r="D159" s="433"/>
      <c r="E159" s="460"/>
      <c r="F159" s="351"/>
      <c r="G159" s="456"/>
      <c r="H159" s="433"/>
      <c r="I159" s="353"/>
      <c r="J159" s="433"/>
    </row>
    <row r="160">
      <c r="A160" s="433"/>
      <c r="B160" s="456"/>
      <c r="C160" s="433"/>
      <c r="D160" s="433"/>
      <c r="E160" s="460"/>
      <c r="F160" s="351"/>
      <c r="G160" s="456"/>
      <c r="H160" s="433"/>
      <c r="I160" s="353"/>
      <c r="J160" s="433"/>
    </row>
    <row r="161">
      <c r="A161" s="433"/>
      <c r="B161" s="456"/>
      <c r="C161" s="433"/>
      <c r="D161" s="433"/>
      <c r="E161" s="460"/>
      <c r="F161" s="351"/>
      <c r="G161" s="456"/>
      <c r="H161" s="433"/>
      <c r="I161" s="353"/>
      <c r="J161" s="433"/>
    </row>
    <row r="162">
      <c r="A162" s="433"/>
      <c r="B162" s="456"/>
      <c r="C162" s="433"/>
      <c r="D162" s="433"/>
      <c r="E162" s="460"/>
      <c r="F162" s="351"/>
      <c r="G162" s="456"/>
      <c r="H162" s="433"/>
      <c r="I162" s="353"/>
      <c r="J162" s="433"/>
    </row>
    <row r="163">
      <c r="A163" s="433"/>
      <c r="B163" s="456"/>
      <c r="C163" s="433"/>
      <c r="D163" s="433"/>
      <c r="E163" s="460"/>
      <c r="F163" s="351"/>
      <c r="G163" s="456"/>
      <c r="H163" s="433"/>
      <c r="I163" s="353"/>
      <c r="J163" s="433"/>
    </row>
    <row r="164">
      <c r="A164" s="433"/>
      <c r="B164" s="456"/>
      <c r="C164" s="433"/>
      <c r="D164" s="433"/>
      <c r="E164" s="460"/>
      <c r="F164" s="351"/>
      <c r="G164" s="456"/>
      <c r="H164" s="433"/>
      <c r="I164" s="353"/>
      <c r="J164" s="433"/>
    </row>
    <row r="165">
      <c r="A165" s="433"/>
      <c r="B165" s="456"/>
      <c r="C165" s="433"/>
      <c r="D165" s="433"/>
      <c r="E165" s="460"/>
      <c r="F165" s="351"/>
      <c r="G165" s="456"/>
      <c r="H165" s="433"/>
      <c r="I165" s="353"/>
      <c r="J165" s="433"/>
    </row>
    <row r="166">
      <c r="A166" s="433"/>
      <c r="B166" s="456"/>
      <c r="C166" s="433"/>
      <c r="D166" s="433"/>
      <c r="E166" s="460"/>
      <c r="F166" s="351"/>
      <c r="G166" s="456"/>
      <c r="H166" s="433"/>
      <c r="I166" s="353"/>
      <c r="J166" s="433"/>
    </row>
    <row r="167">
      <c r="A167" s="433"/>
      <c r="B167" s="456"/>
      <c r="C167" s="433"/>
      <c r="D167" s="433"/>
      <c r="E167" s="460"/>
      <c r="F167" s="351"/>
      <c r="G167" s="456"/>
      <c r="H167" s="433"/>
      <c r="I167" s="353"/>
      <c r="J167" s="433"/>
    </row>
    <row r="168">
      <c r="A168" s="433"/>
      <c r="B168" s="456"/>
      <c r="C168" s="433"/>
      <c r="D168" s="433"/>
      <c r="E168" s="460"/>
      <c r="F168" s="351"/>
      <c r="G168" s="456"/>
      <c r="H168" s="433"/>
      <c r="I168" s="353"/>
      <c r="J168" s="433"/>
    </row>
    <row r="169">
      <c r="A169" s="433"/>
      <c r="B169" s="456"/>
      <c r="C169" s="433"/>
      <c r="D169" s="433"/>
      <c r="E169" s="460"/>
      <c r="F169" s="351"/>
      <c r="G169" s="456"/>
      <c r="H169" s="433"/>
      <c r="I169" s="353"/>
      <c r="J169" s="433"/>
    </row>
    <row r="170">
      <c r="A170" s="433"/>
      <c r="B170" s="456"/>
      <c r="C170" s="433"/>
      <c r="D170" s="433"/>
      <c r="E170" s="460"/>
      <c r="F170" s="351"/>
      <c r="G170" s="456"/>
      <c r="H170" s="433"/>
      <c r="I170" s="353"/>
      <c r="J170" s="433"/>
    </row>
    <row r="171">
      <c r="A171" s="433"/>
      <c r="B171" s="456"/>
      <c r="C171" s="433"/>
      <c r="D171" s="433"/>
      <c r="E171" s="460"/>
      <c r="F171" s="351"/>
      <c r="G171" s="456"/>
      <c r="H171" s="433"/>
      <c r="I171" s="353"/>
      <c r="J171" s="433"/>
    </row>
    <row r="172">
      <c r="A172" s="433"/>
      <c r="B172" s="456"/>
      <c r="C172" s="433"/>
      <c r="D172" s="433"/>
      <c r="E172" s="460"/>
      <c r="F172" s="351"/>
      <c r="G172" s="456"/>
      <c r="H172" s="433"/>
      <c r="I172" s="353"/>
      <c r="J172" s="433"/>
    </row>
    <row r="173">
      <c r="A173" s="433"/>
      <c r="B173" s="456"/>
      <c r="C173" s="433"/>
      <c r="D173" s="433"/>
      <c r="E173" s="460"/>
      <c r="F173" s="351"/>
      <c r="G173" s="456"/>
      <c r="H173" s="433"/>
      <c r="I173" s="353"/>
      <c r="J173" s="433"/>
    </row>
    <row r="174">
      <c r="A174" s="433"/>
      <c r="B174" s="456"/>
      <c r="C174" s="433"/>
      <c r="D174" s="433"/>
      <c r="E174" s="460"/>
      <c r="F174" s="351"/>
      <c r="G174" s="456"/>
      <c r="H174" s="433"/>
      <c r="I174" s="353"/>
      <c r="J174" s="433"/>
    </row>
    <row r="175">
      <c r="A175" s="433"/>
      <c r="B175" s="456"/>
      <c r="C175" s="433"/>
      <c r="D175" s="433"/>
      <c r="E175" s="460"/>
      <c r="F175" s="351"/>
      <c r="G175" s="456"/>
      <c r="H175" s="433"/>
      <c r="I175" s="353"/>
      <c r="J175" s="433"/>
    </row>
    <row r="176">
      <c r="A176" s="433"/>
      <c r="B176" s="456"/>
      <c r="C176" s="433"/>
      <c r="D176" s="433"/>
      <c r="E176" s="460"/>
      <c r="F176" s="351"/>
      <c r="G176" s="456"/>
      <c r="H176" s="433"/>
      <c r="I176" s="353"/>
      <c r="J176" s="433"/>
    </row>
    <row r="177">
      <c r="A177" s="433"/>
      <c r="B177" s="456"/>
      <c r="C177" s="433"/>
      <c r="D177" s="433"/>
      <c r="E177" s="460"/>
      <c r="F177" s="351"/>
      <c r="G177" s="456"/>
      <c r="H177" s="433"/>
      <c r="I177" s="353"/>
      <c r="J177" s="433"/>
    </row>
    <row r="178">
      <c r="A178" s="433"/>
      <c r="B178" s="456"/>
      <c r="C178" s="433"/>
      <c r="D178" s="433"/>
      <c r="E178" s="460"/>
      <c r="F178" s="351"/>
      <c r="G178" s="456"/>
      <c r="H178" s="433"/>
      <c r="I178" s="353"/>
      <c r="J178" s="433"/>
    </row>
    <row r="179">
      <c r="A179" s="433"/>
      <c r="B179" s="456"/>
      <c r="C179" s="433"/>
      <c r="D179" s="433"/>
      <c r="E179" s="460"/>
      <c r="F179" s="351"/>
      <c r="G179" s="456"/>
      <c r="H179" s="433"/>
      <c r="I179" s="353"/>
      <c r="J179" s="433"/>
    </row>
    <row r="180">
      <c r="A180" s="433"/>
      <c r="B180" s="456"/>
      <c r="C180" s="433"/>
      <c r="D180" s="433"/>
      <c r="E180" s="460"/>
      <c r="F180" s="351"/>
      <c r="G180" s="456"/>
      <c r="H180" s="433"/>
      <c r="I180" s="353"/>
      <c r="J180" s="433"/>
    </row>
    <row r="181">
      <c r="A181" s="433"/>
      <c r="B181" s="456"/>
      <c r="C181" s="433"/>
      <c r="D181" s="433"/>
      <c r="E181" s="460"/>
      <c r="F181" s="351"/>
      <c r="G181" s="456"/>
      <c r="H181" s="433"/>
      <c r="I181" s="353"/>
      <c r="J181" s="433"/>
    </row>
    <row r="182">
      <c r="A182" s="433"/>
      <c r="B182" s="456"/>
      <c r="C182" s="433"/>
      <c r="D182" s="433"/>
      <c r="E182" s="460"/>
      <c r="F182" s="351"/>
      <c r="G182" s="456"/>
      <c r="H182" s="433"/>
      <c r="I182" s="353"/>
      <c r="J182" s="433"/>
    </row>
    <row r="183">
      <c r="A183" s="433"/>
      <c r="B183" s="456"/>
      <c r="C183" s="433"/>
      <c r="D183" s="433"/>
      <c r="E183" s="460"/>
      <c r="F183" s="351"/>
      <c r="G183" s="456"/>
      <c r="H183" s="433"/>
      <c r="I183" s="353"/>
      <c r="J183" s="433"/>
    </row>
    <row r="184">
      <c r="A184" s="433"/>
      <c r="B184" s="456"/>
      <c r="C184" s="433"/>
      <c r="D184" s="433"/>
      <c r="E184" s="460"/>
      <c r="F184" s="351"/>
      <c r="G184" s="456"/>
      <c r="H184" s="433"/>
      <c r="I184" s="353"/>
      <c r="J184" s="433"/>
    </row>
    <row r="185">
      <c r="A185" s="433"/>
      <c r="B185" s="456"/>
      <c r="C185" s="433"/>
      <c r="D185" s="433"/>
      <c r="E185" s="460"/>
      <c r="F185" s="351"/>
      <c r="G185" s="456"/>
      <c r="H185" s="433"/>
      <c r="I185" s="353"/>
      <c r="J185" s="433"/>
    </row>
    <row r="186">
      <c r="A186" s="433"/>
      <c r="B186" s="456"/>
      <c r="C186" s="433"/>
      <c r="D186" s="433"/>
      <c r="E186" s="460"/>
      <c r="F186" s="351"/>
      <c r="G186" s="456"/>
      <c r="H186" s="433"/>
      <c r="I186" s="353"/>
      <c r="J186" s="433"/>
    </row>
    <row r="187">
      <c r="A187" s="433"/>
      <c r="B187" s="456"/>
      <c r="C187" s="433"/>
      <c r="D187" s="433"/>
      <c r="E187" s="460"/>
      <c r="F187" s="351"/>
      <c r="G187" s="456"/>
      <c r="H187" s="433"/>
      <c r="I187" s="353"/>
      <c r="J187" s="433"/>
    </row>
    <row r="188">
      <c r="A188" s="433"/>
      <c r="B188" s="456"/>
      <c r="C188" s="433"/>
      <c r="D188" s="433"/>
      <c r="E188" s="460"/>
      <c r="F188" s="351"/>
      <c r="G188" s="456"/>
      <c r="H188" s="433"/>
      <c r="I188" s="353"/>
      <c r="J188" s="433"/>
    </row>
    <row r="189">
      <c r="A189" s="433"/>
      <c r="B189" s="456"/>
      <c r="C189" s="433"/>
      <c r="D189" s="433"/>
      <c r="E189" s="460"/>
      <c r="F189" s="351"/>
      <c r="G189" s="456"/>
      <c r="H189" s="433"/>
      <c r="I189" s="353"/>
      <c r="J189" s="433"/>
    </row>
    <row r="190">
      <c r="A190" s="433"/>
      <c r="B190" s="456"/>
      <c r="C190" s="433"/>
      <c r="D190" s="433"/>
      <c r="E190" s="460"/>
      <c r="F190" s="351"/>
      <c r="G190" s="456"/>
      <c r="H190" s="433"/>
      <c r="I190" s="353"/>
      <c r="J190" s="433"/>
    </row>
    <row r="191">
      <c r="A191" s="433"/>
      <c r="B191" s="456"/>
      <c r="C191" s="433"/>
      <c r="D191" s="433"/>
      <c r="E191" s="460"/>
      <c r="F191" s="351"/>
      <c r="G191" s="456"/>
      <c r="H191" s="433"/>
      <c r="I191" s="353"/>
      <c r="J191" s="433"/>
    </row>
    <row r="192">
      <c r="A192" s="433"/>
      <c r="B192" s="456"/>
      <c r="C192" s="433"/>
      <c r="D192" s="433"/>
      <c r="E192" s="460"/>
      <c r="F192" s="351"/>
      <c r="G192" s="456"/>
      <c r="H192" s="433"/>
      <c r="I192" s="353"/>
      <c r="J192" s="433"/>
    </row>
    <row r="193">
      <c r="A193" s="433"/>
      <c r="B193" s="456"/>
      <c r="C193" s="433"/>
      <c r="D193" s="433"/>
      <c r="E193" s="460"/>
      <c r="F193" s="351"/>
      <c r="G193" s="456"/>
      <c r="H193" s="433"/>
      <c r="I193" s="353"/>
      <c r="J193" s="433"/>
    </row>
    <row r="194">
      <c r="A194" s="433"/>
      <c r="B194" s="456"/>
      <c r="C194" s="433"/>
      <c r="D194" s="433"/>
      <c r="E194" s="460"/>
      <c r="F194" s="351"/>
      <c r="G194" s="456"/>
      <c r="H194" s="433"/>
      <c r="I194" s="353"/>
      <c r="J194" s="433"/>
    </row>
    <row r="195">
      <c r="A195" s="433"/>
      <c r="B195" s="456"/>
      <c r="C195" s="433"/>
      <c r="D195" s="433"/>
      <c r="E195" s="460"/>
      <c r="F195" s="351"/>
      <c r="G195" s="456"/>
      <c r="H195" s="433"/>
      <c r="I195" s="353"/>
      <c r="J195" s="433"/>
    </row>
    <row r="196">
      <c r="A196" s="433"/>
      <c r="B196" s="456"/>
      <c r="C196" s="433"/>
      <c r="D196" s="433"/>
      <c r="E196" s="460"/>
      <c r="F196" s="351"/>
      <c r="G196" s="456"/>
      <c r="H196" s="433"/>
      <c r="I196" s="353"/>
      <c r="J196" s="433"/>
    </row>
    <row r="197">
      <c r="A197" s="433"/>
      <c r="B197" s="456"/>
      <c r="C197" s="433"/>
      <c r="D197" s="433"/>
      <c r="E197" s="460"/>
      <c r="F197" s="351"/>
      <c r="G197" s="456"/>
      <c r="H197" s="433"/>
      <c r="I197" s="353"/>
      <c r="J197" s="433"/>
    </row>
    <row r="198">
      <c r="A198" s="433"/>
      <c r="B198" s="456"/>
      <c r="C198" s="433"/>
      <c r="D198" s="433"/>
      <c r="E198" s="460"/>
      <c r="F198" s="351"/>
      <c r="G198" s="456"/>
      <c r="H198" s="433"/>
      <c r="I198" s="353"/>
      <c r="J198" s="433"/>
    </row>
    <row r="199">
      <c r="A199" s="433"/>
      <c r="B199" s="456"/>
      <c r="C199" s="433"/>
      <c r="D199" s="433"/>
      <c r="E199" s="460"/>
      <c r="F199" s="351"/>
      <c r="G199" s="456"/>
      <c r="H199" s="433"/>
      <c r="I199" s="353"/>
      <c r="J199" s="433"/>
    </row>
    <row r="200">
      <c r="A200" s="433"/>
      <c r="B200" s="456"/>
      <c r="C200" s="433"/>
      <c r="D200" s="433"/>
      <c r="E200" s="460"/>
      <c r="F200" s="351"/>
      <c r="G200" s="456"/>
      <c r="H200" s="433"/>
      <c r="I200" s="353"/>
      <c r="J200" s="433"/>
    </row>
    <row r="201">
      <c r="A201" s="433"/>
      <c r="B201" s="456"/>
      <c r="C201" s="433"/>
      <c r="D201" s="433"/>
      <c r="E201" s="460"/>
      <c r="F201" s="351"/>
      <c r="G201" s="456"/>
      <c r="H201" s="433"/>
      <c r="I201" s="353"/>
      <c r="J201" s="433"/>
    </row>
    <row r="202">
      <c r="A202" s="433"/>
      <c r="B202" s="456"/>
      <c r="C202" s="433"/>
      <c r="D202" s="433"/>
      <c r="E202" s="460"/>
      <c r="F202" s="351"/>
      <c r="G202" s="456"/>
      <c r="H202" s="433"/>
      <c r="I202" s="353"/>
      <c r="J202" s="433"/>
    </row>
    <row r="203">
      <c r="A203" s="433"/>
      <c r="B203" s="456"/>
      <c r="C203" s="433"/>
      <c r="D203" s="433"/>
      <c r="E203" s="460"/>
      <c r="F203" s="351"/>
      <c r="G203" s="456"/>
      <c r="H203" s="433"/>
      <c r="I203" s="353"/>
      <c r="J203" s="433"/>
    </row>
    <row r="204">
      <c r="A204" s="433"/>
      <c r="B204" s="456"/>
      <c r="C204" s="433"/>
      <c r="D204" s="433"/>
      <c r="E204" s="460"/>
      <c r="F204" s="351"/>
      <c r="G204" s="456"/>
      <c r="H204" s="433"/>
      <c r="I204" s="353"/>
      <c r="J204" s="433"/>
    </row>
    <row r="205">
      <c r="A205" s="433"/>
      <c r="B205" s="456"/>
      <c r="C205" s="433"/>
      <c r="D205" s="433"/>
      <c r="E205" s="460"/>
      <c r="F205" s="351"/>
      <c r="G205" s="456"/>
      <c r="H205" s="433"/>
      <c r="I205" s="353"/>
      <c r="J205" s="433"/>
    </row>
    <row r="206">
      <c r="A206" s="433"/>
      <c r="B206" s="456"/>
      <c r="C206" s="433"/>
      <c r="D206" s="433"/>
      <c r="E206" s="460"/>
      <c r="F206" s="351"/>
      <c r="G206" s="456"/>
      <c r="H206" s="433"/>
      <c r="I206" s="353"/>
      <c r="J206" s="433"/>
    </row>
    <row r="207">
      <c r="A207" s="433"/>
      <c r="B207" s="456"/>
      <c r="C207" s="433"/>
      <c r="D207" s="433"/>
      <c r="E207" s="460"/>
      <c r="F207" s="351"/>
      <c r="G207" s="456"/>
      <c r="H207" s="433"/>
      <c r="I207" s="353"/>
      <c r="J207" s="433"/>
    </row>
    <row r="208">
      <c r="A208" s="433"/>
      <c r="B208" s="456"/>
      <c r="C208" s="433"/>
      <c r="D208" s="433"/>
      <c r="E208" s="460"/>
      <c r="F208" s="351"/>
      <c r="G208" s="456"/>
      <c r="H208" s="433"/>
      <c r="I208" s="353"/>
      <c r="J208" s="433"/>
    </row>
    <row r="209">
      <c r="A209" s="433"/>
      <c r="B209" s="456"/>
      <c r="C209" s="433"/>
      <c r="D209" s="433"/>
      <c r="E209" s="460"/>
      <c r="F209" s="351"/>
      <c r="G209" s="456"/>
      <c r="H209" s="433"/>
      <c r="I209" s="353"/>
      <c r="J209" s="433"/>
    </row>
    <row r="210">
      <c r="A210" s="433"/>
      <c r="B210" s="456"/>
      <c r="C210" s="433"/>
      <c r="D210" s="433"/>
      <c r="E210" s="460"/>
      <c r="F210" s="351"/>
      <c r="G210" s="456"/>
      <c r="H210" s="433"/>
      <c r="I210" s="353"/>
      <c r="J210" s="433"/>
    </row>
    <row r="211">
      <c r="A211" s="433"/>
      <c r="B211" s="456"/>
      <c r="C211" s="433"/>
      <c r="D211" s="433"/>
      <c r="E211" s="460"/>
      <c r="F211" s="351"/>
      <c r="G211" s="456"/>
      <c r="H211" s="433"/>
      <c r="I211" s="353"/>
      <c r="J211" s="433"/>
    </row>
    <row r="212">
      <c r="A212" s="433"/>
      <c r="B212" s="456"/>
      <c r="C212" s="433"/>
      <c r="D212" s="433"/>
      <c r="E212" s="460"/>
      <c r="F212" s="351"/>
      <c r="G212" s="456"/>
      <c r="H212" s="433"/>
      <c r="I212" s="353"/>
      <c r="J212" s="433"/>
    </row>
    <row r="213">
      <c r="A213" s="433"/>
      <c r="B213" s="456"/>
      <c r="C213" s="433"/>
      <c r="D213" s="433"/>
      <c r="E213" s="460"/>
      <c r="F213" s="351"/>
      <c r="G213" s="456"/>
      <c r="H213" s="433"/>
      <c r="I213" s="353"/>
      <c r="J213" s="433"/>
    </row>
    <row r="214">
      <c r="A214" s="433"/>
      <c r="B214" s="456"/>
      <c r="C214" s="433"/>
      <c r="D214" s="433"/>
      <c r="E214" s="460"/>
      <c r="F214" s="351"/>
      <c r="G214" s="456"/>
      <c r="H214" s="433"/>
      <c r="I214" s="353"/>
      <c r="J214" s="433"/>
    </row>
    <row r="215">
      <c r="A215" s="433"/>
      <c r="B215" s="456"/>
      <c r="C215" s="433"/>
      <c r="D215" s="433"/>
      <c r="E215" s="460"/>
      <c r="F215" s="351"/>
      <c r="G215" s="456"/>
      <c r="H215" s="433"/>
      <c r="I215" s="353"/>
      <c r="J215" s="433"/>
    </row>
    <row r="216">
      <c r="A216" s="433"/>
      <c r="B216" s="456"/>
      <c r="C216" s="433"/>
      <c r="D216" s="433"/>
      <c r="E216" s="460"/>
      <c r="F216" s="351"/>
      <c r="G216" s="456"/>
      <c r="H216" s="433"/>
      <c r="I216" s="353"/>
      <c r="J216" s="433"/>
    </row>
    <row r="217">
      <c r="A217" s="433"/>
      <c r="B217" s="456"/>
      <c r="C217" s="433"/>
      <c r="D217" s="433"/>
      <c r="E217" s="460"/>
      <c r="F217" s="351"/>
      <c r="G217" s="456"/>
      <c r="H217" s="433"/>
      <c r="I217" s="353"/>
      <c r="J217" s="433"/>
    </row>
    <row r="218">
      <c r="A218" s="433"/>
      <c r="B218" s="456"/>
      <c r="C218" s="433"/>
      <c r="D218" s="433"/>
      <c r="E218" s="460"/>
      <c r="F218" s="351"/>
      <c r="G218" s="456"/>
      <c r="H218" s="433"/>
      <c r="I218" s="353"/>
      <c r="J218" s="433"/>
    </row>
    <row r="219">
      <c r="A219" s="433"/>
      <c r="B219" s="456"/>
      <c r="C219" s="433"/>
      <c r="D219" s="433"/>
      <c r="E219" s="460"/>
      <c r="F219" s="351"/>
      <c r="G219" s="456"/>
      <c r="H219" s="433"/>
      <c r="I219" s="353"/>
      <c r="J219" s="433"/>
    </row>
    <row r="220">
      <c r="A220" s="433"/>
      <c r="B220" s="456"/>
      <c r="C220" s="433"/>
      <c r="D220" s="433"/>
      <c r="E220" s="460"/>
      <c r="F220" s="351"/>
      <c r="G220" s="456"/>
      <c r="H220" s="433"/>
      <c r="I220" s="353"/>
      <c r="J220" s="433"/>
    </row>
    <row r="221">
      <c r="A221" s="433"/>
      <c r="B221" s="456"/>
      <c r="C221" s="433"/>
      <c r="D221" s="433"/>
      <c r="E221" s="460"/>
      <c r="F221" s="351"/>
      <c r="G221" s="456"/>
      <c r="H221" s="433"/>
      <c r="I221" s="353"/>
      <c r="J221" s="433"/>
    </row>
    <row r="222">
      <c r="A222" s="433"/>
      <c r="B222" s="456"/>
      <c r="C222" s="433"/>
      <c r="D222" s="433"/>
      <c r="E222" s="460"/>
      <c r="F222" s="351"/>
      <c r="G222" s="456"/>
      <c r="H222" s="433"/>
      <c r="I222" s="353"/>
      <c r="J222" s="433"/>
    </row>
    <row r="223">
      <c r="A223" s="433"/>
      <c r="B223" s="456"/>
      <c r="C223" s="433"/>
      <c r="D223" s="433"/>
      <c r="E223" s="460"/>
      <c r="F223" s="351"/>
      <c r="G223" s="456"/>
      <c r="H223" s="433"/>
      <c r="I223" s="353"/>
      <c r="J223" s="433"/>
    </row>
    <row r="224">
      <c r="A224" s="433"/>
      <c r="B224" s="456"/>
      <c r="C224" s="433"/>
      <c r="D224" s="433"/>
      <c r="E224" s="460"/>
      <c r="F224" s="351"/>
      <c r="G224" s="456"/>
      <c r="H224" s="433"/>
      <c r="I224" s="353"/>
      <c r="J224" s="433"/>
    </row>
    <row r="225">
      <c r="A225" s="433"/>
      <c r="B225" s="456"/>
      <c r="C225" s="433"/>
      <c r="D225" s="433"/>
      <c r="E225" s="460"/>
      <c r="F225" s="351"/>
      <c r="G225" s="456"/>
      <c r="H225" s="433"/>
      <c r="I225" s="353"/>
      <c r="J225" s="433"/>
    </row>
    <row r="226">
      <c r="A226" s="433"/>
      <c r="B226" s="456"/>
      <c r="C226" s="433"/>
      <c r="D226" s="433"/>
      <c r="E226" s="460"/>
      <c r="F226" s="351"/>
      <c r="G226" s="456"/>
      <c r="H226" s="433"/>
      <c r="I226" s="353"/>
      <c r="J226" s="433"/>
    </row>
    <row r="227">
      <c r="A227" s="433"/>
      <c r="B227" s="456"/>
      <c r="C227" s="433"/>
      <c r="D227" s="433"/>
      <c r="E227" s="460"/>
      <c r="F227" s="351"/>
      <c r="G227" s="456"/>
      <c r="H227" s="433"/>
      <c r="I227" s="353"/>
      <c r="J227" s="433"/>
    </row>
    <row r="228">
      <c r="A228" s="433"/>
      <c r="B228" s="456"/>
      <c r="C228" s="433"/>
      <c r="D228" s="433"/>
      <c r="E228" s="460"/>
      <c r="F228" s="351"/>
      <c r="G228" s="456"/>
      <c r="H228" s="433"/>
      <c r="I228" s="353"/>
      <c r="J228" s="433"/>
    </row>
    <row r="229">
      <c r="A229" s="433"/>
      <c r="B229" s="456"/>
      <c r="C229" s="433"/>
      <c r="D229" s="433"/>
      <c r="E229" s="460"/>
      <c r="F229" s="351"/>
      <c r="G229" s="456"/>
      <c r="H229" s="433"/>
      <c r="I229" s="353"/>
      <c r="J229" s="433"/>
    </row>
    <row r="230">
      <c r="A230" s="433"/>
      <c r="B230" s="456"/>
      <c r="C230" s="433"/>
      <c r="D230" s="433"/>
      <c r="E230" s="460"/>
      <c r="F230" s="351"/>
      <c r="G230" s="456"/>
      <c r="H230" s="433"/>
      <c r="I230" s="353"/>
      <c r="J230" s="433"/>
    </row>
    <row r="231">
      <c r="A231" s="433"/>
      <c r="B231" s="456"/>
      <c r="C231" s="433"/>
      <c r="D231" s="433"/>
      <c r="E231" s="460"/>
      <c r="F231" s="351"/>
      <c r="G231" s="456"/>
      <c r="H231" s="433"/>
      <c r="I231" s="353"/>
      <c r="J231" s="433"/>
    </row>
    <row r="232">
      <c r="A232" s="433"/>
      <c r="B232" s="456"/>
      <c r="C232" s="433"/>
      <c r="D232" s="433"/>
      <c r="E232" s="460"/>
      <c r="F232" s="351"/>
      <c r="G232" s="456"/>
      <c r="H232" s="433"/>
      <c r="I232" s="353"/>
      <c r="J232" s="433"/>
    </row>
    <row r="233">
      <c r="A233" s="433"/>
      <c r="B233" s="456"/>
      <c r="C233" s="433"/>
      <c r="D233" s="433"/>
      <c r="E233" s="460"/>
      <c r="F233" s="351"/>
      <c r="G233" s="456"/>
      <c r="H233" s="433"/>
      <c r="I233" s="353"/>
      <c r="J233" s="433"/>
    </row>
    <row r="234">
      <c r="A234" s="433"/>
      <c r="B234" s="456"/>
      <c r="C234" s="433"/>
      <c r="D234" s="433"/>
      <c r="E234" s="460"/>
      <c r="F234" s="351"/>
      <c r="G234" s="456"/>
      <c r="H234" s="433"/>
      <c r="I234" s="353"/>
      <c r="J234" s="433"/>
    </row>
    <row r="235">
      <c r="A235" s="433"/>
      <c r="B235" s="456"/>
      <c r="C235" s="433"/>
      <c r="D235" s="433"/>
      <c r="E235" s="460"/>
      <c r="F235" s="351"/>
      <c r="G235" s="456"/>
      <c r="H235" s="433"/>
      <c r="I235" s="353"/>
      <c r="J235" s="433"/>
    </row>
    <row r="236">
      <c r="A236" s="433"/>
      <c r="B236" s="456"/>
      <c r="C236" s="433"/>
      <c r="D236" s="433"/>
      <c r="E236" s="460"/>
      <c r="F236" s="351"/>
      <c r="G236" s="456"/>
      <c r="H236" s="433"/>
      <c r="I236" s="353"/>
      <c r="J236" s="433"/>
    </row>
    <row r="237">
      <c r="A237" s="433"/>
      <c r="B237" s="456"/>
      <c r="C237" s="433"/>
      <c r="D237" s="433"/>
      <c r="E237" s="460"/>
      <c r="F237" s="351"/>
      <c r="G237" s="456"/>
      <c r="H237" s="433"/>
      <c r="I237" s="353"/>
      <c r="J237" s="433"/>
    </row>
    <row r="238">
      <c r="A238" s="433"/>
      <c r="B238" s="456"/>
      <c r="C238" s="433"/>
      <c r="D238" s="433"/>
      <c r="E238" s="460"/>
      <c r="F238" s="351"/>
      <c r="G238" s="456"/>
      <c r="H238" s="433"/>
      <c r="I238" s="353"/>
      <c r="J238" s="433"/>
    </row>
    <row r="239">
      <c r="A239" s="433"/>
      <c r="B239" s="456"/>
      <c r="C239" s="433"/>
      <c r="D239" s="433"/>
      <c r="E239" s="460"/>
      <c r="F239" s="351"/>
      <c r="G239" s="456"/>
      <c r="H239" s="433"/>
      <c r="I239" s="353"/>
      <c r="J239" s="433"/>
    </row>
    <row r="240">
      <c r="A240" s="433"/>
      <c r="B240" s="456"/>
      <c r="C240" s="433"/>
      <c r="D240" s="433"/>
      <c r="E240" s="460"/>
      <c r="F240" s="351"/>
      <c r="G240" s="456"/>
      <c r="H240" s="433"/>
      <c r="I240" s="353"/>
      <c r="J240" s="433"/>
    </row>
    <row r="241">
      <c r="A241" s="433"/>
      <c r="B241" s="456"/>
      <c r="C241" s="433"/>
      <c r="D241" s="433"/>
      <c r="E241" s="460"/>
      <c r="F241" s="351"/>
      <c r="G241" s="456"/>
      <c r="H241" s="433"/>
      <c r="I241" s="353"/>
      <c r="J241" s="433"/>
    </row>
    <row r="242">
      <c r="A242" s="433"/>
      <c r="B242" s="456"/>
      <c r="C242" s="433"/>
      <c r="D242" s="433"/>
      <c r="E242" s="460"/>
      <c r="F242" s="351"/>
      <c r="G242" s="456"/>
      <c r="H242" s="433"/>
      <c r="I242" s="353"/>
      <c r="J242" s="433"/>
    </row>
    <row r="243">
      <c r="A243" s="433"/>
      <c r="B243" s="456"/>
      <c r="C243" s="433"/>
      <c r="D243" s="433"/>
      <c r="E243" s="460"/>
      <c r="F243" s="351"/>
      <c r="G243" s="456"/>
      <c r="H243" s="433"/>
      <c r="I243" s="353"/>
      <c r="J243" s="433"/>
    </row>
    <row r="244">
      <c r="A244" s="433"/>
      <c r="B244" s="456"/>
      <c r="C244" s="433"/>
      <c r="D244" s="433"/>
      <c r="E244" s="460"/>
      <c r="F244" s="351"/>
      <c r="G244" s="456"/>
      <c r="H244" s="433"/>
      <c r="I244" s="353"/>
      <c r="J244" s="433"/>
    </row>
    <row r="245">
      <c r="A245" s="433"/>
      <c r="B245" s="456"/>
      <c r="C245" s="433"/>
      <c r="D245" s="433"/>
      <c r="E245" s="460"/>
      <c r="F245" s="351"/>
      <c r="G245" s="456"/>
      <c r="H245" s="433"/>
      <c r="I245" s="353"/>
      <c r="J245" s="433"/>
    </row>
    <row r="246">
      <c r="A246" s="433"/>
      <c r="B246" s="456"/>
      <c r="C246" s="433"/>
      <c r="D246" s="433"/>
      <c r="E246" s="460"/>
      <c r="F246" s="351"/>
      <c r="G246" s="456"/>
      <c r="H246" s="433"/>
      <c r="I246" s="353"/>
      <c r="J246" s="433"/>
    </row>
    <row r="247">
      <c r="A247" s="433"/>
      <c r="B247" s="456"/>
      <c r="C247" s="433"/>
      <c r="D247" s="433"/>
      <c r="E247" s="460"/>
      <c r="F247" s="351"/>
      <c r="G247" s="456"/>
      <c r="H247" s="433"/>
      <c r="I247" s="353"/>
      <c r="J247" s="433"/>
    </row>
    <row r="248">
      <c r="A248" s="433"/>
      <c r="B248" s="456"/>
      <c r="C248" s="433"/>
      <c r="D248" s="433"/>
      <c r="E248" s="460"/>
      <c r="F248" s="351"/>
      <c r="G248" s="456"/>
      <c r="H248" s="433"/>
      <c r="I248" s="353"/>
      <c r="J248" s="433"/>
    </row>
    <row r="249">
      <c r="A249" s="433"/>
      <c r="B249" s="456"/>
      <c r="C249" s="433"/>
      <c r="D249" s="433"/>
      <c r="E249" s="460"/>
      <c r="F249" s="351"/>
      <c r="G249" s="456"/>
      <c r="H249" s="433"/>
      <c r="I249" s="353"/>
      <c r="J249" s="433"/>
    </row>
    <row r="250">
      <c r="A250" s="433"/>
      <c r="B250" s="456"/>
      <c r="C250" s="433"/>
      <c r="D250" s="433"/>
      <c r="E250" s="460"/>
      <c r="F250" s="351"/>
      <c r="G250" s="456"/>
      <c r="H250" s="433"/>
      <c r="I250" s="353"/>
      <c r="J250" s="433"/>
    </row>
    <row r="251">
      <c r="A251" s="433"/>
      <c r="B251" s="456"/>
      <c r="C251" s="433"/>
      <c r="D251" s="433"/>
      <c r="E251" s="460"/>
      <c r="F251" s="351"/>
      <c r="G251" s="456"/>
      <c r="H251" s="433"/>
      <c r="I251" s="353"/>
      <c r="J251" s="433"/>
    </row>
    <row r="252">
      <c r="A252" s="433"/>
      <c r="B252" s="456"/>
      <c r="C252" s="433"/>
      <c r="D252" s="433"/>
      <c r="E252" s="460"/>
      <c r="F252" s="351"/>
      <c r="G252" s="456"/>
      <c r="H252" s="433"/>
      <c r="I252" s="353"/>
      <c r="J252" s="433"/>
    </row>
    <row r="253">
      <c r="A253" s="433"/>
      <c r="B253" s="456"/>
      <c r="C253" s="433"/>
      <c r="D253" s="433"/>
      <c r="E253" s="460"/>
      <c r="F253" s="351"/>
      <c r="G253" s="456"/>
      <c r="H253" s="433"/>
      <c r="I253" s="353"/>
      <c r="J253" s="433"/>
    </row>
    <row r="254">
      <c r="A254" s="433"/>
      <c r="B254" s="456"/>
      <c r="C254" s="433"/>
      <c r="D254" s="433"/>
      <c r="E254" s="460"/>
      <c r="F254" s="351"/>
      <c r="G254" s="456"/>
      <c r="H254" s="433"/>
      <c r="I254" s="353"/>
      <c r="J254" s="433"/>
    </row>
    <row r="255">
      <c r="A255" s="433"/>
      <c r="B255" s="456"/>
      <c r="C255" s="433"/>
      <c r="D255" s="433"/>
      <c r="E255" s="460"/>
      <c r="F255" s="351"/>
      <c r="G255" s="456"/>
      <c r="H255" s="433"/>
      <c r="I255" s="353"/>
      <c r="J255" s="433"/>
    </row>
    <row r="256">
      <c r="A256" s="433"/>
      <c r="B256" s="456"/>
      <c r="C256" s="433"/>
      <c r="D256" s="433"/>
      <c r="E256" s="460"/>
      <c r="F256" s="351"/>
      <c r="G256" s="456"/>
      <c r="H256" s="433"/>
      <c r="I256" s="353"/>
      <c r="J256" s="433"/>
    </row>
    <row r="257">
      <c r="A257" s="433"/>
      <c r="B257" s="456"/>
      <c r="C257" s="433"/>
      <c r="D257" s="433"/>
      <c r="E257" s="460"/>
      <c r="F257" s="351"/>
      <c r="G257" s="456"/>
      <c r="H257" s="433"/>
      <c r="I257" s="353"/>
      <c r="J257" s="433"/>
    </row>
    <row r="258">
      <c r="A258" s="433"/>
      <c r="B258" s="456"/>
      <c r="C258" s="433"/>
      <c r="D258" s="433"/>
      <c r="E258" s="460"/>
      <c r="F258" s="351"/>
      <c r="G258" s="456"/>
      <c r="H258" s="433"/>
      <c r="I258" s="353"/>
      <c r="J258" s="433"/>
    </row>
    <row r="259">
      <c r="A259" s="433"/>
      <c r="B259" s="456"/>
      <c r="C259" s="433"/>
      <c r="D259" s="433"/>
      <c r="E259" s="460"/>
      <c r="F259" s="351"/>
      <c r="G259" s="456"/>
      <c r="H259" s="433"/>
      <c r="I259" s="353"/>
      <c r="J259" s="433"/>
    </row>
    <row r="260">
      <c r="A260" s="433"/>
      <c r="B260" s="456"/>
      <c r="C260" s="433"/>
      <c r="D260" s="433"/>
      <c r="E260" s="460"/>
      <c r="F260" s="351"/>
      <c r="G260" s="456"/>
      <c r="H260" s="433"/>
      <c r="I260" s="353"/>
      <c r="J260" s="433"/>
    </row>
    <row r="261">
      <c r="A261" s="433"/>
      <c r="B261" s="456"/>
      <c r="C261" s="433"/>
      <c r="D261" s="433"/>
      <c r="E261" s="460"/>
      <c r="F261" s="351"/>
      <c r="G261" s="456"/>
      <c r="H261" s="433"/>
      <c r="I261" s="353"/>
      <c r="J261" s="433"/>
    </row>
    <row r="262">
      <c r="A262" s="433"/>
      <c r="B262" s="456"/>
      <c r="C262" s="433"/>
      <c r="D262" s="433"/>
      <c r="E262" s="460"/>
      <c r="F262" s="351"/>
      <c r="G262" s="456"/>
      <c r="H262" s="433"/>
      <c r="I262" s="353"/>
      <c r="J262" s="433"/>
    </row>
    <row r="263">
      <c r="A263" s="433"/>
      <c r="B263" s="456"/>
      <c r="C263" s="433"/>
      <c r="D263" s="433"/>
      <c r="E263" s="460"/>
      <c r="F263" s="351"/>
      <c r="G263" s="456"/>
      <c r="H263" s="433"/>
      <c r="I263" s="353"/>
      <c r="J263" s="433"/>
    </row>
    <row r="264">
      <c r="A264" s="433"/>
      <c r="B264" s="456"/>
      <c r="C264" s="433"/>
      <c r="D264" s="433"/>
      <c r="E264" s="460"/>
      <c r="F264" s="351"/>
      <c r="G264" s="456"/>
      <c r="H264" s="433"/>
      <c r="I264" s="353"/>
      <c r="J264" s="433"/>
    </row>
    <row r="265">
      <c r="A265" s="433"/>
      <c r="B265" s="456"/>
      <c r="C265" s="433"/>
      <c r="D265" s="433"/>
      <c r="E265" s="460"/>
      <c r="F265" s="351"/>
      <c r="G265" s="456"/>
      <c r="H265" s="433"/>
      <c r="I265" s="353"/>
      <c r="J265" s="433"/>
    </row>
    <row r="266">
      <c r="A266" s="433"/>
      <c r="B266" s="456"/>
      <c r="C266" s="433"/>
      <c r="D266" s="433"/>
      <c r="E266" s="460"/>
      <c r="F266" s="351"/>
      <c r="G266" s="456"/>
      <c r="H266" s="433"/>
      <c r="I266" s="353"/>
      <c r="J266" s="433"/>
    </row>
    <row r="267">
      <c r="A267" s="433"/>
      <c r="B267" s="456"/>
      <c r="C267" s="433"/>
      <c r="D267" s="433"/>
      <c r="E267" s="460"/>
      <c r="F267" s="351"/>
      <c r="G267" s="456"/>
      <c r="H267" s="433"/>
      <c r="I267" s="353"/>
      <c r="J267" s="433"/>
    </row>
    <row r="268">
      <c r="A268" s="433"/>
      <c r="B268" s="456"/>
      <c r="C268" s="433"/>
      <c r="D268" s="433"/>
      <c r="E268" s="460"/>
      <c r="F268" s="351"/>
      <c r="G268" s="456"/>
      <c r="H268" s="433"/>
      <c r="I268" s="353"/>
      <c r="J268" s="433"/>
    </row>
    <row r="269">
      <c r="A269" s="433"/>
      <c r="B269" s="456"/>
      <c r="C269" s="433"/>
      <c r="D269" s="433"/>
      <c r="E269" s="460"/>
      <c r="F269" s="351"/>
      <c r="G269" s="456"/>
      <c r="H269" s="433"/>
      <c r="I269" s="353"/>
      <c r="J269" s="433"/>
    </row>
    <row r="270">
      <c r="A270" s="433"/>
      <c r="B270" s="456"/>
      <c r="C270" s="433"/>
      <c r="D270" s="433"/>
      <c r="E270" s="460"/>
      <c r="F270" s="351"/>
      <c r="G270" s="456"/>
      <c r="H270" s="433"/>
      <c r="I270" s="353"/>
      <c r="J270" s="433"/>
    </row>
    <row r="271">
      <c r="A271" s="433"/>
      <c r="B271" s="456"/>
      <c r="C271" s="433"/>
      <c r="D271" s="433"/>
      <c r="E271" s="460"/>
      <c r="F271" s="351"/>
      <c r="G271" s="456"/>
      <c r="H271" s="433"/>
      <c r="I271" s="353"/>
      <c r="J271" s="433"/>
    </row>
    <row r="272">
      <c r="A272" s="433"/>
      <c r="B272" s="456"/>
      <c r="C272" s="433"/>
      <c r="D272" s="433"/>
      <c r="E272" s="460"/>
      <c r="F272" s="351"/>
      <c r="G272" s="456"/>
      <c r="H272" s="433"/>
      <c r="I272" s="353"/>
      <c r="J272" s="433"/>
    </row>
    <row r="273">
      <c r="A273" s="433"/>
      <c r="B273" s="456"/>
      <c r="C273" s="433"/>
      <c r="D273" s="433"/>
      <c r="E273" s="460"/>
      <c r="F273" s="351"/>
      <c r="G273" s="456"/>
      <c r="H273" s="433"/>
      <c r="I273" s="353"/>
      <c r="J273" s="433"/>
    </row>
    <row r="274">
      <c r="A274" s="433"/>
      <c r="B274" s="456"/>
      <c r="C274" s="433"/>
      <c r="D274" s="433"/>
      <c r="E274" s="460"/>
      <c r="F274" s="351"/>
      <c r="G274" s="456"/>
      <c r="H274" s="433"/>
      <c r="I274" s="353"/>
      <c r="J274" s="433"/>
    </row>
    <row r="275">
      <c r="A275" s="433"/>
      <c r="B275" s="456"/>
      <c r="C275" s="433"/>
      <c r="D275" s="433"/>
      <c r="E275" s="460"/>
      <c r="F275" s="351"/>
      <c r="G275" s="456"/>
      <c r="H275" s="433"/>
      <c r="I275" s="353"/>
      <c r="J275" s="433"/>
    </row>
    <row r="276">
      <c r="A276" s="433"/>
      <c r="B276" s="456"/>
      <c r="C276" s="433"/>
      <c r="D276" s="433"/>
      <c r="E276" s="460"/>
      <c r="F276" s="351"/>
      <c r="G276" s="456"/>
      <c r="H276" s="433"/>
      <c r="I276" s="353"/>
      <c r="J276" s="433"/>
    </row>
    <row r="277">
      <c r="A277" s="433"/>
      <c r="B277" s="456"/>
      <c r="C277" s="433"/>
      <c r="D277" s="433"/>
      <c r="E277" s="460"/>
      <c r="F277" s="351"/>
      <c r="G277" s="456"/>
      <c r="H277" s="433"/>
      <c r="I277" s="353"/>
      <c r="J277" s="433"/>
    </row>
    <row r="278">
      <c r="A278" s="433"/>
      <c r="B278" s="456"/>
      <c r="C278" s="433"/>
      <c r="D278" s="433"/>
      <c r="E278" s="460"/>
      <c r="F278" s="351"/>
      <c r="G278" s="456"/>
      <c r="H278" s="433"/>
      <c r="I278" s="353"/>
      <c r="J278" s="433"/>
    </row>
    <row r="279">
      <c r="A279" s="433"/>
      <c r="B279" s="456"/>
      <c r="C279" s="433"/>
      <c r="D279" s="433"/>
      <c r="E279" s="460"/>
      <c r="F279" s="351"/>
      <c r="G279" s="456"/>
      <c r="H279" s="433"/>
      <c r="I279" s="353"/>
      <c r="J279" s="433"/>
    </row>
    <row r="280">
      <c r="A280" s="433"/>
      <c r="B280" s="456"/>
      <c r="C280" s="433"/>
      <c r="D280" s="433"/>
      <c r="E280" s="460"/>
      <c r="F280" s="351"/>
      <c r="G280" s="456"/>
      <c r="H280" s="433"/>
      <c r="I280" s="353"/>
      <c r="J280" s="433"/>
    </row>
    <row r="281">
      <c r="A281" s="433"/>
      <c r="B281" s="456"/>
      <c r="C281" s="433"/>
      <c r="D281" s="433"/>
      <c r="E281" s="460"/>
      <c r="F281" s="351"/>
      <c r="G281" s="456"/>
      <c r="H281" s="433"/>
      <c r="I281" s="353"/>
      <c r="J281" s="433"/>
    </row>
    <row r="282">
      <c r="A282" s="433"/>
      <c r="B282" s="456"/>
      <c r="C282" s="433"/>
      <c r="D282" s="433"/>
      <c r="E282" s="460"/>
      <c r="F282" s="351"/>
      <c r="G282" s="456"/>
      <c r="H282" s="433"/>
      <c r="I282" s="353"/>
      <c r="J282" s="433"/>
    </row>
    <row r="283">
      <c r="A283" s="433"/>
      <c r="B283" s="456"/>
      <c r="C283" s="433"/>
      <c r="D283" s="433"/>
      <c r="E283" s="460"/>
      <c r="F283" s="351"/>
      <c r="G283" s="456"/>
      <c r="H283" s="433"/>
      <c r="I283" s="353"/>
      <c r="J283" s="433"/>
    </row>
    <row r="284">
      <c r="A284" s="433"/>
      <c r="B284" s="456"/>
      <c r="C284" s="433"/>
      <c r="D284" s="433"/>
      <c r="E284" s="460"/>
      <c r="F284" s="351"/>
      <c r="G284" s="456"/>
      <c r="H284" s="433"/>
      <c r="I284" s="353"/>
      <c r="J284" s="433"/>
    </row>
    <row r="285">
      <c r="A285" s="433"/>
      <c r="B285" s="456"/>
      <c r="C285" s="433"/>
      <c r="D285" s="433"/>
      <c r="E285" s="460"/>
      <c r="F285" s="351"/>
      <c r="G285" s="456"/>
      <c r="H285" s="433"/>
      <c r="I285" s="353"/>
      <c r="J285" s="433"/>
    </row>
    <row r="286">
      <c r="A286" s="433"/>
      <c r="B286" s="456"/>
      <c r="C286" s="433"/>
      <c r="D286" s="433"/>
      <c r="E286" s="460"/>
      <c r="F286" s="351"/>
      <c r="G286" s="456"/>
      <c r="H286" s="433"/>
      <c r="I286" s="353"/>
      <c r="J286" s="433"/>
    </row>
    <row r="287">
      <c r="A287" s="433"/>
      <c r="B287" s="456"/>
      <c r="C287" s="433"/>
      <c r="D287" s="433"/>
      <c r="E287" s="460"/>
      <c r="F287" s="351"/>
      <c r="G287" s="456"/>
      <c r="H287" s="433"/>
      <c r="I287" s="353"/>
      <c r="J287" s="433"/>
    </row>
    <row r="288">
      <c r="A288" s="433"/>
      <c r="B288" s="456"/>
      <c r="C288" s="433"/>
      <c r="D288" s="433"/>
      <c r="E288" s="460"/>
      <c r="F288" s="351"/>
      <c r="G288" s="456"/>
      <c r="H288" s="433"/>
      <c r="I288" s="353"/>
      <c r="J288" s="433"/>
    </row>
    <row r="289">
      <c r="A289" s="433"/>
      <c r="B289" s="456"/>
      <c r="C289" s="433"/>
      <c r="D289" s="433"/>
      <c r="E289" s="460"/>
      <c r="F289" s="351"/>
      <c r="G289" s="456"/>
      <c r="H289" s="433"/>
      <c r="I289" s="353"/>
      <c r="J289" s="433"/>
    </row>
    <row r="290">
      <c r="A290" s="433"/>
      <c r="B290" s="456"/>
      <c r="C290" s="433"/>
      <c r="D290" s="433"/>
      <c r="E290" s="460"/>
      <c r="F290" s="351"/>
      <c r="G290" s="456"/>
      <c r="H290" s="433"/>
      <c r="I290" s="353"/>
      <c r="J290" s="433"/>
    </row>
    <row r="291">
      <c r="A291" s="433"/>
      <c r="B291" s="456"/>
      <c r="C291" s="433"/>
      <c r="D291" s="433"/>
      <c r="E291" s="460"/>
      <c r="F291" s="351"/>
      <c r="G291" s="456"/>
      <c r="H291" s="433"/>
      <c r="I291" s="353"/>
      <c r="J291" s="433"/>
    </row>
    <row r="292">
      <c r="A292" s="433"/>
      <c r="B292" s="456"/>
      <c r="C292" s="433"/>
      <c r="D292" s="433"/>
      <c r="E292" s="460"/>
      <c r="F292" s="351"/>
      <c r="G292" s="456"/>
      <c r="H292" s="433"/>
      <c r="I292" s="353"/>
      <c r="J292" s="433"/>
    </row>
    <row r="293">
      <c r="A293" s="433"/>
      <c r="B293" s="456"/>
      <c r="C293" s="433"/>
      <c r="D293" s="433"/>
      <c r="E293" s="460"/>
      <c r="F293" s="351"/>
      <c r="G293" s="456"/>
      <c r="H293" s="433"/>
      <c r="I293" s="353"/>
      <c r="J293" s="433"/>
    </row>
    <row r="294">
      <c r="A294" s="433"/>
      <c r="B294" s="456"/>
      <c r="C294" s="433"/>
      <c r="D294" s="433"/>
      <c r="E294" s="460"/>
      <c r="F294" s="351"/>
      <c r="G294" s="456"/>
      <c r="H294" s="433"/>
      <c r="I294" s="353"/>
      <c r="J294" s="433"/>
    </row>
    <row r="295">
      <c r="A295" s="433"/>
      <c r="B295" s="456"/>
      <c r="C295" s="433"/>
      <c r="D295" s="433"/>
      <c r="E295" s="460"/>
      <c r="F295" s="351"/>
      <c r="G295" s="456"/>
      <c r="H295" s="433"/>
      <c r="I295" s="353"/>
      <c r="J295" s="433"/>
    </row>
    <row r="296">
      <c r="A296" s="433"/>
      <c r="B296" s="456"/>
      <c r="C296" s="433"/>
      <c r="D296" s="433"/>
      <c r="E296" s="460"/>
      <c r="F296" s="351"/>
      <c r="G296" s="456"/>
      <c r="H296" s="433"/>
      <c r="I296" s="353"/>
      <c r="J296" s="433"/>
    </row>
    <row r="297">
      <c r="A297" s="433"/>
      <c r="B297" s="456"/>
      <c r="C297" s="433"/>
      <c r="D297" s="433"/>
      <c r="E297" s="460"/>
      <c r="F297" s="351"/>
      <c r="G297" s="456"/>
      <c r="H297" s="433"/>
      <c r="I297" s="353"/>
      <c r="J297" s="433"/>
    </row>
    <row r="298">
      <c r="A298" s="433"/>
      <c r="B298" s="456"/>
      <c r="C298" s="433"/>
      <c r="D298" s="433"/>
      <c r="E298" s="460"/>
      <c r="F298" s="351"/>
      <c r="G298" s="456"/>
      <c r="H298" s="433"/>
      <c r="I298" s="353"/>
      <c r="J298" s="433"/>
    </row>
    <row r="299">
      <c r="A299" s="433"/>
      <c r="B299" s="456"/>
      <c r="C299" s="433"/>
      <c r="D299" s="433"/>
      <c r="E299" s="460"/>
      <c r="F299" s="351"/>
      <c r="G299" s="456"/>
      <c r="H299" s="433"/>
      <c r="I299" s="353"/>
      <c r="J299" s="433"/>
    </row>
    <row r="300">
      <c r="A300" s="433"/>
      <c r="B300" s="456"/>
      <c r="C300" s="433"/>
      <c r="D300" s="433"/>
      <c r="E300" s="460"/>
      <c r="F300" s="351"/>
      <c r="G300" s="456"/>
      <c r="H300" s="433"/>
      <c r="I300" s="353"/>
      <c r="J300" s="433"/>
    </row>
    <row r="301">
      <c r="A301" s="433"/>
      <c r="B301" s="456"/>
      <c r="C301" s="433"/>
      <c r="D301" s="433"/>
      <c r="E301" s="460"/>
      <c r="F301" s="351"/>
      <c r="G301" s="456"/>
      <c r="H301" s="433"/>
      <c r="I301" s="353"/>
      <c r="J301" s="433"/>
    </row>
    <row r="302">
      <c r="A302" s="433"/>
      <c r="B302" s="456"/>
      <c r="C302" s="433"/>
      <c r="D302" s="433"/>
      <c r="E302" s="460"/>
      <c r="F302" s="351"/>
      <c r="G302" s="456"/>
      <c r="H302" s="433"/>
      <c r="I302" s="353"/>
      <c r="J302" s="433"/>
    </row>
    <row r="303">
      <c r="A303" s="433"/>
      <c r="B303" s="456"/>
      <c r="C303" s="433"/>
      <c r="D303" s="433"/>
      <c r="E303" s="460"/>
      <c r="F303" s="351"/>
      <c r="G303" s="456"/>
      <c r="H303" s="433"/>
      <c r="I303" s="353"/>
      <c r="J303" s="433"/>
    </row>
    <row r="304">
      <c r="A304" s="433"/>
      <c r="B304" s="456"/>
      <c r="C304" s="433"/>
      <c r="D304" s="433"/>
      <c r="E304" s="460"/>
      <c r="F304" s="351"/>
      <c r="G304" s="456"/>
      <c r="H304" s="433"/>
      <c r="I304" s="353"/>
      <c r="J304" s="433"/>
    </row>
    <row r="305">
      <c r="A305" s="433"/>
      <c r="B305" s="456"/>
      <c r="C305" s="433"/>
      <c r="D305" s="433"/>
      <c r="E305" s="460"/>
      <c r="F305" s="351"/>
      <c r="G305" s="456"/>
      <c r="H305" s="433"/>
      <c r="I305" s="353"/>
      <c r="J305" s="433"/>
    </row>
    <row r="306">
      <c r="A306" s="433"/>
      <c r="B306" s="456"/>
      <c r="C306" s="433"/>
      <c r="D306" s="433"/>
      <c r="E306" s="460"/>
      <c r="F306" s="351"/>
      <c r="G306" s="456"/>
      <c r="H306" s="433"/>
      <c r="I306" s="353"/>
      <c r="J306" s="433"/>
    </row>
    <row r="307">
      <c r="A307" s="433"/>
      <c r="B307" s="456"/>
      <c r="C307" s="433"/>
      <c r="D307" s="433"/>
      <c r="E307" s="460"/>
      <c r="F307" s="351"/>
      <c r="G307" s="456"/>
      <c r="H307" s="433"/>
      <c r="I307" s="353"/>
      <c r="J307" s="433"/>
    </row>
    <row r="308">
      <c r="A308" s="433"/>
      <c r="B308" s="456"/>
      <c r="C308" s="433"/>
      <c r="D308" s="433"/>
      <c r="E308" s="460"/>
      <c r="F308" s="351"/>
      <c r="G308" s="456"/>
      <c r="H308" s="433"/>
      <c r="I308" s="353"/>
      <c r="J308" s="433"/>
    </row>
    <row r="309">
      <c r="A309" s="433"/>
      <c r="B309" s="456"/>
      <c r="C309" s="433"/>
      <c r="D309" s="433"/>
      <c r="E309" s="460"/>
      <c r="F309" s="351"/>
      <c r="G309" s="456"/>
      <c r="H309" s="433"/>
      <c r="I309" s="353"/>
      <c r="J309" s="433"/>
    </row>
    <row r="310">
      <c r="A310" s="433"/>
      <c r="B310" s="456"/>
      <c r="C310" s="433"/>
      <c r="D310" s="433"/>
      <c r="E310" s="460"/>
      <c r="F310" s="351"/>
      <c r="G310" s="456"/>
      <c r="H310" s="433"/>
      <c r="I310" s="353"/>
      <c r="J310" s="433"/>
    </row>
    <row r="311">
      <c r="A311" s="433"/>
      <c r="B311" s="456"/>
      <c r="C311" s="433"/>
      <c r="D311" s="433"/>
      <c r="E311" s="460"/>
      <c r="F311" s="351"/>
      <c r="G311" s="456"/>
      <c r="H311" s="433"/>
      <c r="I311" s="353"/>
      <c r="J311" s="433"/>
    </row>
    <row r="312">
      <c r="A312" s="433"/>
      <c r="B312" s="456"/>
      <c r="C312" s="433"/>
      <c r="D312" s="433"/>
      <c r="E312" s="460"/>
      <c r="F312" s="351"/>
      <c r="G312" s="456"/>
      <c r="H312" s="433"/>
      <c r="I312" s="353"/>
      <c r="J312" s="433"/>
    </row>
    <row r="313">
      <c r="A313" s="433"/>
      <c r="B313" s="456"/>
      <c r="C313" s="433"/>
      <c r="D313" s="433"/>
      <c r="E313" s="460"/>
      <c r="F313" s="351"/>
      <c r="G313" s="456"/>
      <c r="H313" s="433"/>
      <c r="I313" s="353"/>
      <c r="J313" s="433"/>
    </row>
    <row r="314">
      <c r="A314" s="433"/>
      <c r="B314" s="456"/>
      <c r="C314" s="433"/>
      <c r="D314" s="433"/>
      <c r="E314" s="460"/>
      <c r="F314" s="351"/>
      <c r="G314" s="456"/>
      <c r="H314" s="433"/>
      <c r="I314" s="353"/>
      <c r="J314" s="433"/>
    </row>
    <row r="315">
      <c r="A315" s="433"/>
      <c r="B315" s="456"/>
      <c r="C315" s="433"/>
      <c r="D315" s="433"/>
      <c r="E315" s="460"/>
      <c r="F315" s="351"/>
      <c r="G315" s="456"/>
      <c r="H315" s="433"/>
      <c r="I315" s="353"/>
      <c r="J315" s="433"/>
    </row>
    <row r="316">
      <c r="A316" s="433"/>
      <c r="B316" s="456"/>
      <c r="C316" s="433"/>
      <c r="D316" s="433"/>
      <c r="E316" s="460"/>
      <c r="F316" s="351"/>
      <c r="G316" s="456"/>
      <c r="H316" s="433"/>
      <c r="I316" s="353"/>
      <c r="J316" s="433"/>
    </row>
    <row r="317">
      <c r="A317" s="433"/>
      <c r="B317" s="456"/>
      <c r="C317" s="433"/>
      <c r="D317" s="433"/>
      <c r="E317" s="460"/>
      <c r="F317" s="351"/>
      <c r="G317" s="456"/>
      <c r="H317" s="433"/>
      <c r="I317" s="353"/>
      <c r="J317" s="433"/>
    </row>
    <row r="318">
      <c r="A318" s="433"/>
      <c r="B318" s="456"/>
      <c r="C318" s="433"/>
      <c r="D318" s="433"/>
      <c r="E318" s="460"/>
      <c r="F318" s="351"/>
      <c r="G318" s="456"/>
      <c r="H318" s="433"/>
      <c r="I318" s="353"/>
      <c r="J318" s="433"/>
    </row>
    <row r="319">
      <c r="A319" s="433"/>
      <c r="B319" s="456"/>
      <c r="C319" s="433"/>
      <c r="D319" s="433"/>
      <c r="E319" s="460"/>
      <c r="F319" s="351"/>
      <c r="G319" s="456"/>
      <c r="H319" s="433"/>
      <c r="I319" s="353"/>
      <c r="J319" s="433"/>
    </row>
    <row r="320">
      <c r="A320" s="433"/>
      <c r="B320" s="456"/>
      <c r="C320" s="433"/>
      <c r="D320" s="433"/>
      <c r="E320" s="460"/>
      <c r="F320" s="351"/>
      <c r="G320" s="456"/>
      <c r="H320" s="433"/>
      <c r="I320" s="353"/>
      <c r="J320" s="433"/>
    </row>
    <row r="321">
      <c r="A321" s="433"/>
      <c r="B321" s="456"/>
      <c r="C321" s="433"/>
      <c r="D321" s="433"/>
      <c r="E321" s="460"/>
      <c r="F321" s="351"/>
      <c r="G321" s="456"/>
      <c r="H321" s="433"/>
      <c r="I321" s="353"/>
      <c r="J321" s="433"/>
    </row>
    <row r="322">
      <c r="A322" s="433"/>
      <c r="B322" s="456"/>
      <c r="C322" s="433"/>
      <c r="D322" s="433"/>
      <c r="E322" s="460"/>
      <c r="F322" s="351"/>
      <c r="G322" s="456"/>
      <c r="H322" s="433"/>
      <c r="I322" s="353"/>
      <c r="J322" s="433"/>
    </row>
    <row r="323">
      <c r="A323" s="433"/>
      <c r="B323" s="456"/>
      <c r="C323" s="433"/>
      <c r="D323" s="433"/>
      <c r="E323" s="460"/>
      <c r="F323" s="351"/>
      <c r="G323" s="456"/>
      <c r="H323" s="433"/>
      <c r="I323" s="353"/>
      <c r="J323" s="433"/>
    </row>
    <row r="324">
      <c r="A324" s="433"/>
      <c r="B324" s="456"/>
      <c r="C324" s="433"/>
      <c r="D324" s="433"/>
      <c r="E324" s="460"/>
      <c r="F324" s="351"/>
      <c r="G324" s="456"/>
      <c r="H324" s="433"/>
      <c r="I324" s="353"/>
      <c r="J324" s="433"/>
    </row>
    <row r="325">
      <c r="A325" s="433"/>
      <c r="B325" s="456"/>
      <c r="C325" s="433"/>
      <c r="D325" s="433"/>
      <c r="E325" s="460"/>
      <c r="F325" s="351"/>
      <c r="G325" s="456"/>
      <c r="H325" s="433"/>
      <c r="I325" s="353"/>
      <c r="J325" s="433"/>
    </row>
    <row r="326">
      <c r="A326" s="433"/>
      <c r="B326" s="456"/>
      <c r="C326" s="433"/>
      <c r="D326" s="433"/>
      <c r="E326" s="460"/>
      <c r="F326" s="351"/>
      <c r="G326" s="456"/>
      <c r="H326" s="433"/>
      <c r="I326" s="353"/>
      <c r="J326" s="433"/>
    </row>
    <row r="327">
      <c r="A327" s="433"/>
      <c r="B327" s="456"/>
      <c r="C327" s="433"/>
      <c r="D327" s="433"/>
      <c r="E327" s="460"/>
      <c r="F327" s="351"/>
      <c r="G327" s="456"/>
      <c r="H327" s="433"/>
      <c r="I327" s="353"/>
      <c r="J327" s="433"/>
    </row>
    <row r="328">
      <c r="A328" s="433"/>
      <c r="B328" s="456"/>
      <c r="C328" s="433"/>
      <c r="D328" s="433"/>
      <c r="E328" s="460"/>
      <c r="F328" s="351"/>
      <c r="G328" s="456"/>
      <c r="H328" s="433"/>
      <c r="I328" s="353"/>
      <c r="J328" s="433"/>
    </row>
    <row r="329">
      <c r="A329" s="433"/>
      <c r="B329" s="456"/>
      <c r="C329" s="433"/>
      <c r="D329" s="433"/>
      <c r="E329" s="460"/>
      <c r="F329" s="351"/>
      <c r="G329" s="456"/>
      <c r="H329" s="433"/>
      <c r="I329" s="353"/>
      <c r="J329" s="433"/>
    </row>
    <row r="330">
      <c r="A330" s="433"/>
      <c r="B330" s="456"/>
      <c r="C330" s="433"/>
      <c r="D330" s="433"/>
      <c r="E330" s="460"/>
      <c r="F330" s="351"/>
      <c r="G330" s="456"/>
      <c r="H330" s="433"/>
      <c r="I330" s="353"/>
      <c r="J330" s="433"/>
    </row>
    <row r="331">
      <c r="A331" s="433"/>
      <c r="B331" s="456"/>
      <c r="C331" s="433"/>
      <c r="D331" s="433"/>
      <c r="E331" s="460"/>
      <c r="F331" s="351"/>
      <c r="G331" s="456"/>
      <c r="H331" s="433"/>
      <c r="I331" s="353"/>
      <c r="J331" s="433"/>
    </row>
    <row r="332">
      <c r="A332" s="433"/>
      <c r="B332" s="456"/>
      <c r="C332" s="433"/>
      <c r="D332" s="433"/>
      <c r="E332" s="460"/>
      <c r="F332" s="351"/>
      <c r="G332" s="456"/>
      <c r="H332" s="433"/>
      <c r="I332" s="353"/>
      <c r="J332" s="433"/>
    </row>
    <row r="333">
      <c r="A333" s="433"/>
      <c r="B333" s="456"/>
      <c r="C333" s="433"/>
      <c r="D333" s="433"/>
      <c r="E333" s="460"/>
      <c r="F333" s="351"/>
      <c r="G333" s="456"/>
      <c r="H333" s="433"/>
      <c r="I333" s="353"/>
      <c r="J333" s="433"/>
    </row>
    <row r="334">
      <c r="A334" s="433"/>
      <c r="B334" s="456"/>
      <c r="C334" s="433"/>
      <c r="D334" s="433"/>
      <c r="E334" s="460"/>
      <c r="F334" s="351"/>
      <c r="G334" s="456"/>
      <c r="H334" s="433"/>
      <c r="I334" s="353"/>
      <c r="J334" s="433"/>
    </row>
    <row r="335">
      <c r="A335" s="433"/>
      <c r="B335" s="456"/>
      <c r="C335" s="433"/>
      <c r="D335" s="433"/>
      <c r="E335" s="460"/>
      <c r="F335" s="351"/>
      <c r="G335" s="456"/>
      <c r="H335" s="433"/>
      <c r="I335" s="353"/>
      <c r="J335" s="433"/>
    </row>
    <row r="336">
      <c r="A336" s="433"/>
      <c r="B336" s="456"/>
      <c r="C336" s="433"/>
      <c r="D336" s="433"/>
      <c r="E336" s="460"/>
      <c r="F336" s="351"/>
      <c r="G336" s="456"/>
      <c r="H336" s="433"/>
      <c r="I336" s="353"/>
      <c r="J336" s="433"/>
    </row>
    <row r="337">
      <c r="A337" s="433"/>
      <c r="B337" s="456"/>
      <c r="C337" s="433"/>
      <c r="D337" s="433"/>
      <c r="E337" s="460"/>
      <c r="F337" s="351"/>
      <c r="G337" s="456"/>
      <c r="H337" s="433"/>
      <c r="I337" s="353"/>
      <c r="J337" s="433"/>
    </row>
    <row r="338">
      <c r="A338" s="433"/>
      <c r="B338" s="456"/>
      <c r="C338" s="433"/>
      <c r="D338" s="433"/>
      <c r="E338" s="460"/>
      <c r="F338" s="351"/>
      <c r="G338" s="456"/>
      <c r="H338" s="433"/>
      <c r="I338" s="353"/>
      <c r="J338" s="433"/>
    </row>
    <row r="339">
      <c r="A339" s="433"/>
      <c r="B339" s="456"/>
      <c r="C339" s="433"/>
      <c r="D339" s="433"/>
      <c r="E339" s="460"/>
      <c r="F339" s="351"/>
      <c r="G339" s="456"/>
      <c r="H339" s="433"/>
      <c r="I339" s="353"/>
      <c r="J339" s="433"/>
    </row>
    <row r="340">
      <c r="A340" s="433"/>
      <c r="B340" s="456"/>
      <c r="C340" s="433"/>
      <c r="D340" s="433"/>
      <c r="E340" s="460"/>
      <c r="F340" s="351"/>
      <c r="G340" s="456"/>
      <c r="H340" s="433"/>
      <c r="I340" s="353"/>
      <c r="J340" s="433"/>
    </row>
    <row r="341">
      <c r="A341" s="433"/>
      <c r="B341" s="456"/>
      <c r="C341" s="433"/>
      <c r="D341" s="433"/>
      <c r="E341" s="460"/>
      <c r="F341" s="351"/>
      <c r="G341" s="456"/>
      <c r="H341" s="433"/>
      <c r="I341" s="353"/>
      <c r="J341" s="433"/>
    </row>
    <row r="342">
      <c r="A342" s="433"/>
      <c r="B342" s="456"/>
      <c r="C342" s="433"/>
      <c r="D342" s="433"/>
      <c r="E342" s="460"/>
      <c r="F342" s="351"/>
      <c r="G342" s="456"/>
      <c r="H342" s="433"/>
      <c r="I342" s="353"/>
      <c r="J342" s="433"/>
    </row>
    <row r="343">
      <c r="A343" s="433"/>
      <c r="B343" s="456"/>
      <c r="C343" s="433"/>
      <c r="D343" s="433"/>
      <c r="E343" s="460"/>
      <c r="F343" s="351"/>
      <c r="G343" s="456"/>
      <c r="H343" s="433"/>
      <c r="I343" s="353"/>
      <c r="J343" s="433"/>
    </row>
    <row r="344">
      <c r="A344" s="433"/>
      <c r="B344" s="456"/>
      <c r="C344" s="433"/>
      <c r="D344" s="433"/>
      <c r="E344" s="460"/>
      <c r="F344" s="351"/>
      <c r="G344" s="456"/>
      <c r="H344" s="433"/>
      <c r="I344" s="353"/>
      <c r="J344" s="433"/>
    </row>
    <row r="345">
      <c r="A345" s="433"/>
      <c r="B345" s="456"/>
      <c r="C345" s="433"/>
      <c r="D345" s="433"/>
      <c r="E345" s="460"/>
      <c r="F345" s="351"/>
      <c r="G345" s="456"/>
      <c r="H345" s="433"/>
      <c r="I345" s="353"/>
      <c r="J345" s="433"/>
    </row>
    <row r="346">
      <c r="A346" s="433"/>
      <c r="B346" s="456"/>
      <c r="C346" s="433"/>
      <c r="D346" s="433"/>
      <c r="E346" s="460"/>
      <c r="F346" s="351"/>
      <c r="G346" s="456"/>
      <c r="H346" s="433"/>
      <c r="I346" s="353"/>
      <c r="J346" s="433"/>
    </row>
    <row r="347">
      <c r="A347" s="433"/>
      <c r="B347" s="456"/>
      <c r="C347" s="433"/>
      <c r="D347" s="433"/>
      <c r="E347" s="460"/>
      <c r="F347" s="351"/>
      <c r="G347" s="456"/>
      <c r="H347" s="433"/>
      <c r="I347" s="353"/>
      <c r="J347" s="433"/>
    </row>
    <row r="348">
      <c r="A348" s="433"/>
      <c r="B348" s="456"/>
      <c r="C348" s="433"/>
      <c r="D348" s="433"/>
      <c r="E348" s="460"/>
      <c r="F348" s="351"/>
      <c r="G348" s="456"/>
      <c r="H348" s="433"/>
      <c r="I348" s="353"/>
      <c r="J348" s="433"/>
    </row>
    <row r="349">
      <c r="A349" s="433"/>
      <c r="B349" s="456"/>
      <c r="C349" s="433"/>
      <c r="D349" s="433"/>
      <c r="E349" s="460"/>
      <c r="F349" s="351"/>
      <c r="G349" s="456"/>
      <c r="H349" s="433"/>
      <c r="I349" s="353"/>
      <c r="J349" s="433"/>
    </row>
    <row r="350">
      <c r="A350" s="433"/>
      <c r="B350" s="456"/>
      <c r="C350" s="433"/>
      <c r="D350" s="433"/>
      <c r="E350" s="460"/>
      <c r="F350" s="351"/>
      <c r="G350" s="456"/>
      <c r="H350" s="433"/>
      <c r="I350" s="353"/>
      <c r="J350" s="433"/>
    </row>
    <row r="351">
      <c r="A351" s="433"/>
      <c r="B351" s="456"/>
      <c r="C351" s="433"/>
      <c r="D351" s="433"/>
      <c r="E351" s="460"/>
      <c r="F351" s="351"/>
      <c r="G351" s="456"/>
      <c r="H351" s="433"/>
      <c r="I351" s="353"/>
      <c r="J351" s="433"/>
    </row>
    <row r="352">
      <c r="A352" s="433"/>
      <c r="B352" s="456"/>
      <c r="C352" s="433"/>
      <c r="D352" s="433"/>
      <c r="E352" s="460"/>
      <c r="F352" s="351"/>
      <c r="G352" s="456"/>
      <c r="H352" s="433"/>
      <c r="I352" s="353"/>
      <c r="J352" s="433"/>
    </row>
    <row r="353">
      <c r="A353" s="433"/>
      <c r="B353" s="456"/>
      <c r="C353" s="433"/>
      <c r="D353" s="433"/>
      <c r="E353" s="460"/>
      <c r="F353" s="351"/>
      <c r="G353" s="456"/>
      <c r="H353" s="433"/>
      <c r="I353" s="353"/>
      <c r="J353" s="433"/>
    </row>
    <row r="354">
      <c r="A354" s="433"/>
      <c r="B354" s="456"/>
      <c r="C354" s="433"/>
      <c r="D354" s="433"/>
      <c r="E354" s="460"/>
      <c r="F354" s="351"/>
      <c r="G354" s="456"/>
      <c r="H354" s="433"/>
      <c r="I354" s="353"/>
      <c r="J354" s="433"/>
    </row>
    <row r="355">
      <c r="A355" s="433"/>
      <c r="B355" s="456"/>
      <c r="C355" s="433"/>
      <c r="D355" s="433"/>
      <c r="E355" s="460"/>
      <c r="F355" s="351"/>
      <c r="G355" s="456"/>
      <c r="H355" s="433"/>
      <c r="I355" s="353"/>
      <c r="J355" s="433"/>
    </row>
    <row r="356">
      <c r="A356" s="433"/>
      <c r="B356" s="456"/>
      <c r="C356" s="433"/>
      <c r="D356" s="433"/>
      <c r="E356" s="460"/>
      <c r="F356" s="351"/>
      <c r="G356" s="456"/>
      <c r="H356" s="433"/>
      <c r="I356" s="353"/>
      <c r="J356" s="433"/>
    </row>
    <row r="357">
      <c r="A357" s="433"/>
      <c r="B357" s="456"/>
      <c r="C357" s="433"/>
      <c r="D357" s="433"/>
      <c r="E357" s="460"/>
      <c r="F357" s="351"/>
      <c r="G357" s="456"/>
      <c r="H357" s="433"/>
      <c r="I357" s="353"/>
      <c r="J357" s="433"/>
    </row>
    <row r="358">
      <c r="A358" s="433"/>
      <c r="B358" s="456"/>
      <c r="C358" s="433"/>
      <c r="D358" s="433"/>
      <c r="E358" s="460"/>
      <c r="F358" s="351"/>
      <c r="G358" s="456"/>
      <c r="H358" s="433"/>
      <c r="I358" s="353"/>
      <c r="J358" s="433"/>
    </row>
    <row r="359">
      <c r="A359" s="433"/>
      <c r="B359" s="456"/>
      <c r="C359" s="433"/>
      <c r="D359" s="433"/>
      <c r="E359" s="460"/>
      <c r="F359" s="351"/>
      <c r="G359" s="456"/>
      <c r="H359" s="433"/>
      <c r="I359" s="353"/>
      <c r="J359" s="433"/>
    </row>
    <row r="360">
      <c r="A360" s="433"/>
      <c r="B360" s="456"/>
      <c r="C360" s="433"/>
      <c r="D360" s="433"/>
      <c r="E360" s="460"/>
      <c r="F360" s="351"/>
      <c r="G360" s="456"/>
      <c r="H360" s="433"/>
      <c r="I360" s="353"/>
      <c r="J360" s="433"/>
    </row>
    <row r="361">
      <c r="A361" s="433"/>
      <c r="B361" s="456"/>
      <c r="C361" s="433"/>
      <c r="D361" s="433"/>
      <c r="E361" s="460"/>
      <c r="F361" s="351"/>
      <c r="G361" s="456"/>
      <c r="H361" s="433"/>
      <c r="I361" s="353"/>
      <c r="J361" s="433"/>
    </row>
    <row r="362">
      <c r="A362" s="433"/>
      <c r="B362" s="456"/>
      <c r="C362" s="433"/>
      <c r="D362" s="433"/>
      <c r="E362" s="460"/>
      <c r="F362" s="351"/>
      <c r="G362" s="456"/>
      <c r="H362" s="433"/>
      <c r="I362" s="353"/>
      <c r="J362" s="433"/>
    </row>
    <row r="363">
      <c r="A363" s="433"/>
      <c r="B363" s="456"/>
      <c r="C363" s="433"/>
      <c r="D363" s="433"/>
      <c r="E363" s="460"/>
      <c r="F363" s="351"/>
      <c r="G363" s="456"/>
      <c r="H363" s="433"/>
      <c r="I363" s="353"/>
      <c r="J363" s="433"/>
    </row>
    <row r="364">
      <c r="A364" s="433"/>
      <c r="B364" s="456"/>
      <c r="C364" s="433"/>
      <c r="D364" s="433"/>
      <c r="E364" s="460"/>
      <c r="F364" s="351"/>
      <c r="G364" s="456"/>
      <c r="H364" s="433"/>
      <c r="I364" s="353"/>
      <c r="J364" s="433"/>
    </row>
    <row r="365">
      <c r="A365" s="433"/>
      <c r="B365" s="456"/>
      <c r="C365" s="433"/>
      <c r="D365" s="433"/>
      <c r="E365" s="460"/>
      <c r="F365" s="351"/>
      <c r="G365" s="456"/>
      <c r="H365" s="433"/>
      <c r="I365" s="353"/>
      <c r="J365" s="433"/>
    </row>
    <row r="366">
      <c r="A366" s="433"/>
      <c r="B366" s="456"/>
      <c r="C366" s="433"/>
      <c r="D366" s="433"/>
      <c r="E366" s="460"/>
      <c r="F366" s="351"/>
      <c r="G366" s="456"/>
      <c r="H366" s="433"/>
      <c r="I366" s="353"/>
      <c r="J366" s="433"/>
    </row>
    <row r="367">
      <c r="A367" s="433"/>
      <c r="B367" s="456"/>
      <c r="C367" s="433"/>
      <c r="D367" s="433"/>
      <c r="E367" s="460"/>
      <c r="F367" s="351"/>
      <c r="G367" s="456"/>
      <c r="H367" s="433"/>
      <c r="I367" s="353"/>
      <c r="J367" s="433"/>
    </row>
    <row r="368">
      <c r="A368" s="433"/>
      <c r="B368" s="456"/>
      <c r="C368" s="433"/>
      <c r="D368" s="433"/>
      <c r="E368" s="460"/>
      <c r="F368" s="351"/>
      <c r="G368" s="456"/>
      <c r="H368" s="433"/>
      <c r="I368" s="353"/>
      <c r="J368" s="433"/>
    </row>
    <row r="369">
      <c r="A369" s="433"/>
      <c r="B369" s="456"/>
      <c r="C369" s="433"/>
      <c r="D369" s="433"/>
      <c r="E369" s="460"/>
      <c r="F369" s="351"/>
      <c r="G369" s="456"/>
      <c r="H369" s="433"/>
      <c r="I369" s="353"/>
      <c r="J369" s="433"/>
    </row>
    <row r="370">
      <c r="A370" s="433"/>
      <c r="B370" s="456"/>
      <c r="C370" s="433"/>
      <c r="D370" s="433"/>
      <c r="E370" s="460"/>
      <c r="F370" s="351"/>
      <c r="G370" s="456"/>
      <c r="H370" s="433"/>
      <c r="I370" s="353"/>
      <c r="J370" s="433"/>
    </row>
    <row r="371">
      <c r="A371" s="433"/>
      <c r="B371" s="456"/>
      <c r="C371" s="433"/>
      <c r="D371" s="433"/>
      <c r="E371" s="460"/>
      <c r="F371" s="351"/>
      <c r="G371" s="456"/>
      <c r="H371" s="433"/>
      <c r="I371" s="353"/>
      <c r="J371" s="433"/>
    </row>
    <row r="372">
      <c r="A372" s="433"/>
      <c r="B372" s="456"/>
      <c r="C372" s="433"/>
      <c r="D372" s="433"/>
      <c r="E372" s="460"/>
      <c r="F372" s="351"/>
      <c r="G372" s="456"/>
      <c r="H372" s="433"/>
      <c r="I372" s="353"/>
      <c r="J372" s="433"/>
    </row>
    <row r="373">
      <c r="A373" s="433"/>
      <c r="B373" s="456"/>
      <c r="C373" s="433"/>
      <c r="D373" s="433"/>
      <c r="E373" s="460"/>
      <c r="F373" s="351"/>
      <c r="G373" s="456"/>
      <c r="H373" s="433"/>
      <c r="I373" s="353"/>
      <c r="J373" s="433"/>
    </row>
    <row r="374">
      <c r="A374" s="433"/>
      <c r="B374" s="456"/>
      <c r="C374" s="433"/>
      <c r="D374" s="433"/>
      <c r="E374" s="460"/>
      <c r="F374" s="351"/>
      <c r="G374" s="456"/>
      <c r="H374" s="433"/>
      <c r="I374" s="353"/>
      <c r="J374" s="433"/>
    </row>
    <row r="375">
      <c r="A375" s="433"/>
      <c r="B375" s="456"/>
      <c r="C375" s="433"/>
      <c r="D375" s="433"/>
      <c r="E375" s="460"/>
      <c r="F375" s="351"/>
      <c r="G375" s="456"/>
      <c r="H375" s="433"/>
      <c r="I375" s="353"/>
      <c r="J375" s="433"/>
    </row>
    <row r="376">
      <c r="A376" s="433"/>
      <c r="B376" s="456"/>
      <c r="C376" s="433"/>
      <c r="D376" s="433"/>
      <c r="E376" s="460"/>
      <c r="F376" s="351"/>
      <c r="G376" s="456"/>
      <c r="H376" s="433"/>
      <c r="I376" s="353"/>
      <c r="J376" s="433"/>
    </row>
    <row r="377">
      <c r="A377" s="433"/>
      <c r="B377" s="456"/>
      <c r="C377" s="433"/>
      <c r="D377" s="433"/>
      <c r="E377" s="460"/>
      <c r="F377" s="351"/>
      <c r="G377" s="456"/>
      <c r="H377" s="433"/>
      <c r="I377" s="353"/>
      <c r="J377" s="433"/>
    </row>
    <row r="378">
      <c r="A378" s="433"/>
      <c r="B378" s="456"/>
      <c r="C378" s="433"/>
      <c r="D378" s="433"/>
      <c r="E378" s="460"/>
      <c r="F378" s="351"/>
      <c r="G378" s="456"/>
      <c r="H378" s="433"/>
      <c r="I378" s="353"/>
      <c r="J378" s="433"/>
    </row>
    <row r="379">
      <c r="A379" s="433"/>
      <c r="B379" s="456"/>
      <c r="C379" s="433"/>
      <c r="D379" s="433"/>
      <c r="E379" s="460"/>
      <c r="F379" s="351"/>
      <c r="G379" s="456"/>
      <c r="H379" s="433"/>
      <c r="I379" s="353"/>
      <c r="J379" s="433"/>
    </row>
    <row r="380">
      <c r="A380" s="433"/>
      <c r="B380" s="456"/>
      <c r="C380" s="433"/>
      <c r="D380" s="433"/>
      <c r="E380" s="460"/>
      <c r="F380" s="351"/>
      <c r="G380" s="456"/>
      <c r="H380" s="433"/>
      <c r="I380" s="353"/>
      <c r="J380" s="433"/>
    </row>
    <row r="381">
      <c r="A381" s="433"/>
      <c r="B381" s="456"/>
      <c r="C381" s="433"/>
      <c r="D381" s="433"/>
      <c r="E381" s="460"/>
      <c r="F381" s="351"/>
      <c r="G381" s="456"/>
      <c r="H381" s="433"/>
      <c r="I381" s="353"/>
      <c r="J381" s="433"/>
    </row>
    <row r="382">
      <c r="A382" s="433"/>
      <c r="B382" s="456"/>
      <c r="C382" s="433"/>
      <c r="D382" s="433"/>
      <c r="E382" s="460"/>
      <c r="F382" s="351"/>
      <c r="G382" s="456"/>
      <c r="H382" s="433"/>
      <c r="I382" s="353"/>
      <c r="J382" s="433"/>
    </row>
    <row r="383">
      <c r="A383" s="433"/>
      <c r="B383" s="456"/>
      <c r="C383" s="433"/>
      <c r="D383" s="433"/>
      <c r="E383" s="460"/>
      <c r="F383" s="351"/>
      <c r="G383" s="456"/>
      <c r="H383" s="433"/>
      <c r="I383" s="353"/>
      <c r="J383" s="433"/>
    </row>
    <row r="384">
      <c r="A384" s="433"/>
      <c r="B384" s="456"/>
      <c r="C384" s="433"/>
      <c r="D384" s="433"/>
      <c r="E384" s="460"/>
      <c r="F384" s="351"/>
      <c r="G384" s="456"/>
      <c r="H384" s="433"/>
      <c r="I384" s="353"/>
      <c r="J384" s="433"/>
    </row>
    <row r="385">
      <c r="A385" s="433"/>
      <c r="B385" s="456"/>
      <c r="C385" s="433"/>
      <c r="D385" s="433"/>
      <c r="E385" s="460"/>
      <c r="F385" s="351"/>
      <c r="G385" s="456"/>
      <c r="H385" s="433"/>
      <c r="I385" s="353"/>
      <c r="J385" s="433"/>
    </row>
    <row r="386">
      <c r="A386" s="433"/>
      <c r="B386" s="456"/>
      <c r="C386" s="433"/>
      <c r="D386" s="433"/>
      <c r="E386" s="460"/>
      <c r="F386" s="351"/>
      <c r="G386" s="456"/>
      <c r="H386" s="433"/>
      <c r="I386" s="353"/>
      <c r="J386" s="433"/>
    </row>
    <row r="387">
      <c r="A387" s="433"/>
      <c r="B387" s="456"/>
      <c r="C387" s="433"/>
      <c r="D387" s="433"/>
      <c r="E387" s="460"/>
      <c r="F387" s="351"/>
      <c r="G387" s="456"/>
      <c r="H387" s="433"/>
      <c r="I387" s="353"/>
      <c r="J387" s="433"/>
    </row>
    <row r="388">
      <c r="A388" s="433"/>
      <c r="B388" s="456"/>
      <c r="C388" s="433"/>
      <c r="D388" s="433"/>
      <c r="E388" s="460"/>
      <c r="F388" s="351"/>
      <c r="G388" s="456"/>
      <c r="H388" s="433"/>
      <c r="I388" s="353"/>
      <c r="J388" s="433"/>
    </row>
    <row r="389">
      <c r="A389" s="433"/>
      <c r="B389" s="456"/>
      <c r="C389" s="433"/>
      <c r="D389" s="433"/>
      <c r="E389" s="460"/>
      <c r="F389" s="351"/>
      <c r="G389" s="456"/>
      <c r="H389" s="433"/>
      <c r="I389" s="353"/>
      <c r="J389" s="433"/>
    </row>
    <row r="390">
      <c r="A390" s="433"/>
      <c r="B390" s="456"/>
      <c r="C390" s="433"/>
      <c r="D390" s="433"/>
      <c r="E390" s="460"/>
      <c r="F390" s="351"/>
      <c r="G390" s="456"/>
      <c r="H390" s="433"/>
      <c r="I390" s="353"/>
      <c r="J390" s="433"/>
    </row>
    <row r="391">
      <c r="A391" s="433"/>
      <c r="B391" s="456"/>
      <c r="C391" s="433"/>
      <c r="D391" s="433"/>
      <c r="E391" s="460"/>
      <c r="F391" s="351"/>
      <c r="G391" s="456"/>
      <c r="H391" s="433"/>
      <c r="I391" s="353"/>
      <c r="J391" s="433"/>
    </row>
    <row r="392">
      <c r="A392" s="433"/>
      <c r="B392" s="456"/>
      <c r="C392" s="433"/>
      <c r="D392" s="433"/>
      <c r="E392" s="460"/>
      <c r="F392" s="351"/>
      <c r="G392" s="456"/>
      <c r="H392" s="433"/>
      <c r="I392" s="353"/>
      <c r="J392" s="433"/>
    </row>
    <row r="393">
      <c r="A393" s="433"/>
      <c r="B393" s="456"/>
      <c r="C393" s="433"/>
      <c r="D393" s="433"/>
      <c r="E393" s="460"/>
      <c r="F393" s="351"/>
      <c r="G393" s="456"/>
      <c r="H393" s="433"/>
      <c r="I393" s="353"/>
      <c r="J393" s="433"/>
    </row>
    <row r="394">
      <c r="A394" s="433"/>
      <c r="B394" s="456"/>
      <c r="C394" s="433"/>
      <c r="D394" s="433"/>
      <c r="E394" s="460"/>
      <c r="F394" s="351"/>
      <c r="G394" s="456"/>
      <c r="H394" s="433"/>
      <c r="I394" s="353"/>
      <c r="J394" s="433"/>
    </row>
    <row r="395">
      <c r="A395" s="433"/>
      <c r="B395" s="456"/>
      <c r="C395" s="433"/>
      <c r="D395" s="433"/>
      <c r="E395" s="460"/>
      <c r="F395" s="351"/>
      <c r="G395" s="456"/>
      <c r="H395" s="433"/>
      <c r="I395" s="353"/>
      <c r="J395" s="433"/>
    </row>
    <row r="396">
      <c r="A396" s="433"/>
      <c r="B396" s="456"/>
      <c r="C396" s="433"/>
      <c r="D396" s="433"/>
      <c r="E396" s="460"/>
      <c r="F396" s="351"/>
      <c r="G396" s="456"/>
      <c r="H396" s="433"/>
      <c r="I396" s="353"/>
      <c r="J396" s="433"/>
    </row>
    <row r="397">
      <c r="A397" s="433"/>
      <c r="B397" s="456"/>
      <c r="C397" s="433"/>
      <c r="D397" s="433"/>
      <c r="E397" s="460"/>
      <c r="F397" s="351"/>
      <c r="G397" s="456"/>
      <c r="H397" s="433"/>
      <c r="I397" s="353"/>
      <c r="J397" s="433"/>
    </row>
    <row r="398">
      <c r="A398" s="433"/>
      <c r="B398" s="456"/>
      <c r="C398" s="433"/>
      <c r="D398" s="433"/>
      <c r="E398" s="460"/>
      <c r="F398" s="351"/>
      <c r="G398" s="456"/>
      <c r="H398" s="433"/>
      <c r="I398" s="353"/>
      <c r="J398" s="433"/>
    </row>
    <row r="399">
      <c r="A399" s="433"/>
      <c r="B399" s="456"/>
      <c r="C399" s="433"/>
      <c r="D399" s="433"/>
      <c r="E399" s="460"/>
      <c r="F399" s="351"/>
      <c r="G399" s="456"/>
      <c r="H399" s="433"/>
      <c r="I399" s="353"/>
      <c r="J399" s="433"/>
    </row>
    <row r="400">
      <c r="A400" s="433"/>
      <c r="B400" s="456"/>
      <c r="C400" s="433"/>
      <c r="D400" s="433"/>
      <c r="E400" s="460"/>
      <c r="F400" s="351"/>
      <c r="G400" s="456"/>
      <c r="H400" s="433"/>
      <c r="I400" s="353"/>
      <c r="J400" s="433"/>
    </row>
    <row r="401">
      <c r="A401" s="433"/>
      <c r="B401" s="456"/>
      <c r="C401" s="433"/>
      <c r="D401" s="433"/>
      <c r="E401" s="460"/>
      <c r="F401" s="351"/>
      <c r="G401" s="456"/>
      <c r="H401" s="433"/>
      <c r="I401" s="353"/>
      <c r="J401" s="433"/>
    </row>
    <row r="402">
      <c r="A402" s="433"/>
      <c r="B402" s="456"/>
      <c r="C402" s="433"/>
      <c r="D402" s="433"/>
      <c r="E402" s="460"/>
      <c r="F402" s="351"/>
      <c r="G402" s="456"/>
      <c r="H402" s="433"/>
      <c r="I402" s="353"/>
      <c r="J402" s="433"/>
    </row>
    <row r="403">
      <c r="A403" s="433"/>
      <c r="B403" s="456"/>
      <c r="C403" s="433"/>
      <c r="D403" s="433"/>
      <c r="E403" s="460"/>
      <c r="F403" s="351"/>
      <c r="G403" s="456"/>
      <c r="H403" s="433"/>
      <c r="I403" s="353"/>
      <c r="J403" s="433"/>
    </row>
    <row r="404">
      <c r="A404" s="433"/>
      <c r="B404" s="456"/>
      <c r="C404" s="433"/>
      <c r="D404" s="433"/>
      <c r="E404" s="460"/>
      <c r="F404" s="351"/>
      <c r="G404" s="456"/>
      <c r="H404" s="433"/>
      <c r="I404" s="353"/>
      <c r="J404" s="433"/>
    </row>
    <row r="405">
      <c r="A405" s="433"/>
      <c r="B405" s="456"/>
      <c r="C405" s="433"/>
      <c r="D405" s="433"/>
      <c r="E405" s="460"/>
      <c r="F405" s="351"/>
      <c r="G405" s="456"/>
      <c r="H405" s="433"/>
      <c r="I405" s="353"/>
      <c r="J405" s="433"/>
    </row>
    <row r="406">
      <c r="A406" s="433"/>
      <c r="B406" s="456"/>
      <c r="C406" s="433"/>
      <c r="D406" s="433"/>
      <c r="E406" s="460"/>
      <c r="F406" s="351"/>
      <c r="G406" s="456"/>
      <c r="H406" s="433"/>
      <c r="I406" s="353"/>
      <c r="J406" s="433"/>
    </row>
    <row r="407">
      <c r="A407" s="433"/>
      <c r="B407" s="456"/>
      <c r="C407" s="433"/>
      <c r="D407" s="433"/>
      <c r="E407" s="460"/>
      <c r="F407" s="351"/>
      <c r="G407" s="456"/>
      <c r="H407" s="433"/>
      <c r="I407" s="353"/>
      <c r="J407" s="433"/>
    </row>
    <row r="408">
      <c r="A408" s="433"/>
      <c r="B408" s="456"/>
      <c r="C408" s="433"/>
      <c r="D408" s="433"/>
      <c r="E408" s="460"/>
      <c r="F408" s="351"/>
      <c r="G408" s="456"/>
      <c r="H408" s="433"/>
      <c r="I408" s="353"/>
      <c r="J408" s="433"/>
    </row>
    <row r="409">
      <c r="A409" s="433"/>
      <c r="B409" s="456"/>
      <c r="C409" s="433"/>
      <c r="D409" s="433"/>
      <c r="E409" s="460"/>
      <c r="F409" s="351"/>
      <c r="G409" s="456"/>
      <c r="H409" s="433"/>
      <c r="I409" s="353"/>
      <c r="J409" s="433"/>
    </row>
    <row r="410">
      <c r="A410" s="433"/>
      <c r="B410" s="456"/>
      <c r="C410" s="433"/>
      <c r="D410" s="433"/>
      <c r="E410" s="460"/>
      <c r="F410" s="351"/>
      <c r="G410" s="456"/>
      <c r="H410" s="433"/>
      <c r="I410" s="353"/>
      <c r="J410" s="433"/>
    </row>
    <row r="411">
      <c r="A411" s="433"/>
      <c r="B411" s="456"/>
      <c r="C411" s="433"/>
      <c r="D411" s="433"/>
      <c r="E411" s="460"/>
      <c r="F411" s="351"/>
      <c r="G411" s="456"/>
      <c r="H411" s="433"/>
      <c r="I411" s="353"/>
      <c r="J411" s="433"/>
    </row>
    <row r="412">
      <c r="A412" s="433"/>
      <c r="B412" s="456"/>
      <c r="C412" s="433"/>
      <c r="D412" s="433"/>
      <c r="E412" s="460"/>
      <c r="F412" s="351"/>
      <c r="G412" s="456"/>
      <c r="H412" s="433"/>
      <c r="I412" s="353"/>
      <c r="J412" s="433"/>
    </row>
    <row r="413">
      <c r="A413" s="433"/>
      <c r="B413" s="456"/>
      <c r="C413" s="433"/>
      <c r="D413" s="433"/>
      <c r="E413" s="460"/>
      <c r="F413" s="351"/>
      <c r="G413" s="456"/>
      <c r="H413" s="433"/>
      <c r="I413" s="353"/>
      <c r="J413" s="433"/>
    </row>
    <row r="414">
      <c r="A414" s="433"/>
      <c r="B414" s="456"/>
      <c r="C414" s="433"/>
      <c r="D414" s="433"/>
      <c r="E414" s="460"/>
      <c r="F414" s="351"/>
      <c r="G414" s="456"/>
      <c r="H414" s="433"/>
      <c r="I414" s="353"/>
      <c r="J414" s="433"/>
    </row>
    <row r="415">
      <c r="A415" s="433"/>
      <c r="B415" s="456"/>
      <c r="C415" s="433"/>
      <c r="D415" s="433"/>
      <c r="E415" s="460"/>
      <c r="F415" s="351"/>
      <c r="G415" s="456"/>
      <c r="H415" s="433"/>
      <c r="I415" s="353"/>
      <c r="J415" s="433"/>
    </row>
    <row r="416">
      <c r="A416" s="433"/>
      <c r="B416" s="456"/>
      <c r="C416" s="433"/>
      <c r="D416" s="433"/>
      <c r="E416" s="460"/>
      <c r="F416" s="351"/>
      <c r="G416" s="456"/>
      <c r="H416" s="433"/>
      <c r="I416" s="353"/>
      <c r="J416" s="433"/>
    </row>
    <row r="417">
      <c r="A417" s="433"/>
      <c r="B417" s="456"/>
      <c r="C417" s="433"/>
      <c r="D417" s="433"/>
      <c r="E417" s="460"/>
      <c r="F417" s="351"/>
      <c r="G417" s="456"/>
      <c r="H417" s="433"/>
      <c r="I417" s="353"/>
      <c r="J417" s="433"/>
    </row>
    <row r="418">
      <c r="A418" s="433"/>
      <c r="B418" s="456"/>
      <c r="C418" s="433"/>
      <c r="D418" s="433"/>
      <c r="E418" s="460"/>
      <c r="F418" s="351"/>
      <c r="G418" s="456"/>
      <c r="H418" s="433"/>
      <c r="I418" s="353"/>
      <c r="J418" s="433"/>
    </row>
    <row r="419">
      <c r="A419" s="433"/>
      <c r="B419" s="456"/>
      <c r="C419" s="433"/>
      <c r="D419" s="433"/>
      <c r="E419" s="460"/>
      <c r="F419" s="351"/>
      <c r="G419" s="456"/>
      <c r="H419" s="433"/>
      <c r="I419" s="353"/>
      <c r="J419" s="433"/>
    </row>
    <row r="420">
      <c r="A420" s="433"/>
      <c r="B420" s="456"/>
      <c r="C420" s="433"/>
      <c r="D420" s="433"/>
      <c r="E420" s="460"/>
      <c r="F420" s="351"/>
      <c r="G420" s="456"/>
      <c r="H420" s="433"/>
      <c r="I420" s="353"/>
      <c r="J420" s="433"/>
    </row>
    <row r="421">
      <c r="A421" s="433"/>
      <c r="B421" s="456"/>
      <c r="C421" s="433"/>
      <c r="D421" s="433"/>
      <c r="E421" s="460"/>
      <c r="F421" s="351"/>
      <c r="G421" s="456"/>
      <c r="H421" s="433"/>
      <c r="I421" s="353"/>
      <c r="J421" s="433"/>
    </row>
    <row r="422">
      <c r="A422" s="433"/>
      <c r="B422" s="456"/>
      <c r="C422" s="433"/>
      <c r="D422" s="433"/>
      <c r="E422" s="460"/>
      <c r="F422" s="351"/>
      <c r="G422" s="456"/>
      <c r="H422" s="433"/>
      <c r="I422" s="353"/>
      <c r="J422" s="433"/>
    </row>
    <row r="423">
      <c r="A423" s="433"/>
      <c r="B423" s="456"/>
      <c r="C423" s="433"/>
      <c r="D423" s="433"/>
      <c r="E423" s="460"/>
      <c r="F423" s="351"/>
      <c r="G423" s="456"/>
      <c r="H423" s="433"/>
      <c r="I423" s="353"/>
      <c r="J423" s="433"/>
    </row>
    <row r="424">
      <c r="A424" s="433"/>
      <c r="B424" s="456"/>
      <c r="C424" s="433"/>
      <c r="D424" s="433"/>
      <c r="E424" s="460"/>
      <c r="F424" s="351"/>
      <c r="G424" s="456"/>
      <c r="H424" s="433"/>
      <c r="I424" s="353"/>
      <c r="J424" s="433"/>
    </row>
    <row r="425">
      <c r="A425" s="433"/>
      <c r="B425" s="456"/>
      <c r="C425" s="433"/>
      <c r="D425" s="433"/>
      <c r="E425" s="460"/>
      <c r="F425" s="351"/>
      <c r="G425" s="456"/>
      <c r="H425" s="433"/>
      <c r="I425" s="353"/>
      <c r="J425" s="433"/>
    </row>
    <row r="426">
      <c r="A426" s="433"/>
      <c r="B426" s="456"/>
      <c r="C426" s="433"/>
      <c r="D426" s="433"/>
      <c r="E426" s="460"/>
      <c r="F426" s="351"/>
      <c r="G426" s="456"/>
      <c r="H426" s="433"/>
      <c r="I426" s="353"/>
      <c r="J426" s="433"/>
    </row>
    <row r="427">
      <c r="A427" s="433"/>
      <c r="B427" s="456"/>
      <c r="C427" s="433"/>
      <c r="D427" s="433"/>
      <c r="E427" s="460"/>
      <c r="F427" s="351"/>
      <c r="G427" s="456"/>
      <c r="H427" s="433"/>
      <c r="I427" s="353"/>
      <c r="J427" s="433"/>
    </row>
    <row r="428">
      <c r="A428" s="433"/>
      <c r="B428" s="456"/>
      <c r="C428" s="433"/>
      <c r="D428" s="433"/>
      <c r="E428" s="460"/>
      <c r="F428" s="351"/>
      <c r="G428" s="456"/>
      <c r="H428" s="433"/>
      <c r="I428" s="353"/>
      <c r="J428" s="433"/>
    </row>
    <row r="429">
      <c r="A429" s="433"/>
      <c r="B429" s="456"/>
      <c r="C429" s="433"/>
      <c r="D429" s="433"/>
      <c r="E429" s="460"/>
      <c r="F429" s="351"/>
      <c r="G429" s="456"/>
      <c r="H429" s="433"/>
      <c r="I429" s="353"/>
      <c r="J429" s="433"/>
    </row>
    <row r="430">
      <c r="A430" s="433"/>
      <c r="B430" s="456"/>
      <c r="C430" s="433"/>
      <c r="D430" s="433"/>
      <c r="E430" s="460"/>
      <c r="F430" s="351"/>
      <c r="G430" s="456"/>
      <c r="H430" s="433"/>
      <c r="I430" s="353"/>
      <c r="J430" s="433"/>
    </row>
    <row r="431">
      <c r="A431" s="433"/>
      <c r="B431" s="456"/>
      <c r="C431" s="433"/>
      <c r="D431" s="433"/>
      <c r="E431" s="460"/>
      <c r="F431" s="351"/>
      <c r="G431" s="456"/>
      <c r="H431" s="433"/>
      <c r="I431" s="353"/>
      <c r="J431" s="433"/>
    </row>
    <row r="432">
      <c r="A432" s="433"/>
      <c r="B432" s="456"/>
      <c r="C432" s="433"/>
      <c r="D432" s="433"/>
      <c r="E432" s="460"/>
      <c r="F432" s="351"/>
      <c r="G432" s="456"/>
      <c r="H432" s="433"/>
      <c r="I432" s="353"/>
      <c r="J432" s="433"/>
    </row>
    <row r="433">
      <c r="A433" s="433"/>
      <c r="B433" s="456"/>
      <c r="C433" s="433"/>
      <c r="D433" s="433"/>
      <c r="E433" s="460"/>
      <c r="F433" s="351"/>
      <c r="G433" s="456"/>
      <c r="H433" s="433"/>
      <c r="I433" s="353"/>
      <c r="J433" s="433"/>
    </row>
    <row r="434">
      <c r="A434" s="433"/>
      <c r="B434" s="456"/>
      <c r="C434" s="433"/>
      <c r="D434" s="433"/>
      <c r="E434" s="460"/>
      <c r="F434" s="351"/>
      <c r="G434" s="456"/>
      <c r="H434" s="433"/>
      <c r="I434" s="353"/>
      <c r="J434" s="433"/>
    </row>
    <row r="435">
      <c r="A435" s="433"/>
      <c r="B435" s="456"/>
      <c r="C435" s="433"/>
      <c r="D435" s="433"/>
      <c r="E435" s="460"/>
      <c r="F435" s="351"/>
      <c r="G435" s="456"/>
      <c r="H435" s="433"/>
      <c r="I435" s="353"/>
      <c r="J435" s="433"/>
    </row>
    <row r="436">
      <c r="A436" s="433"/>
      <c r="B436" s="456"/>
      <c r="C436" s="433"/>
      <c r="D436" s="433"/>
      <c r="E436" s="460"/>
      <c r="F436" s="351"/>
      <c r="G436" s="456"/>
      <c r="H436" s="433"/>
      <c r="I436" s="353"/>
      <c r="J436" s="433"/>
    </row>
    <row r="437">
      <c r="A437" s="433"/>
      <c r="B437" s="456"/>
      <c r="C437" s="433"/>
      <c r="D437" s="433"/>
      <c r="E437" s="460"/>
      <c r="F437" s="351"/>
      <c r="G437" s="456"/>
      <c r="H437" s="433"/>
      <c r="I437" s="353"/>
      <c r="J437" s="433"/>
    </row>
    <row r="438">
      <c r="A438" s="433"/>
      <c r="B438" s="456"/>
      <c r="C438" s="433"/>
      <c r="D438" s="433"/>
      <c r="E438" s="460"/>
      <c r="F438" s="351"/>
      <c r="G438" s="456"/>
      <c r="H438" s="433"/>
      <c r="I438" s="353"/>
      <c r="J438" s="433"/>
    </row>
    <row r="439">
      <c r="A439" s="433"/>
      <c r="B439" s="456"/>
      <c r="C439" s="433"/>
      <c r="D439" s="433"/>
      <c r="E439" s="460"/>
      <c r="F439" s="351"/>
      <c r="G439" s="456"/>
      <c r="H439" s="433"/>
      <c r="I439" s="353"/>
      <c r="J439" s="433"/>
    </row>
    <row r="440">
      <c r="A440" s="433"/>
      <c r="B440" s="456"/>
      <c r="C440" s="433"/>
      <c r="D440" s="433"/>
      <c r="E440" s="460"/>
      <c r="F440" s="351"/>
      <c r="G440" s="456"/>
      <c r="H440" s="433"/>
      <c r="I440" s="353"/>
      <c r="J440" s="433"/>
    </row>
    <row r="441">
      <c r="A441" s="433"/>
      <c r="B441" s="456"/>
      <c r="C441" s="433"/>
      <c r="D441" s="433"/>
      <c r="E441" s="460"/>
      <c r="F441" s="351"/>
      <c r="G441" s="456"/>
      <c r="H441" s="433"/>
      <c r="I441" s="353"/>
      <c r="J441" s="433"/>
    </row>
    <row r="442">
      <c r="A442" s="433"/>
      <c r="B442" s="456"/>
      <c r="C442" s="433"/>
      <c r="D442" s="433"/>
      <c r="E442" s="460"/>
      <c r="F442" s="351"/>
      <c r="G442" s="456"/>
      <c r="H442" s="433"/>
      <c r="I442" s="353"/>
      <c r="J442" s="433"/>
    </row>
    <row r="443">
      <c r="A443" s="433"/>
      <c r="B443" s="456"/>
      <c r="C443" s="433"/>
      <c r="D443" s="433"/>
      <c r="E443" s="460"/>
      <c r="F443" s="351"/>
      <c r="G443" s="456"/>
      <c r="H443" s="433"/>
      <c r="I443" s="353"/>
      <c r="J443" s="433"/>
    </row>
    <row r="444">
      <c r="A444" s="433"/>
      <c r="B444" s="456"/>
      <c r="C444" s="433"/>
      <c r="D444" s="433"/>
      <c r="E444" s="460"/>
      <c r="F444" s="351"/>
      <c r="G444" s="456"/>
      <c r="H444" s="433"/>
      <c r="I444" s="353"/>
      <c r="J444" s="433"/>
    </row>
    <row r="445">
      <c r="A445" s="433"/>
      <c r="B445" s="456"/>
      <c r="C445" s="433"/>
      <c r="D445" s="433"/>
      <c r="E445" s="460"/>
      <c r="F445" s="351"/>
      <c r="G445" s="456"/>
      <c r="H445" s="433"/>
      <c r="I445" s="353"/>
      <c r="J445" s="433"/>
    </row>
    <row r="446">
      <c r="A446" s="433"/>
      <c r="B446" s="456"/>
      <c r="C446" s="433"/>
      <c r="D446" s="433"/>
      <c r="E446" s="460"/>
      <c r="F446" s="351"/>
      <c r="G446" s="456"/>
      <c r="H446" s="433"/>
      <c r="I446" s="353"/>
      <c r="J446" s="433"/>
    </row>
    <row r="447">
      <c r="A447" s="433"/>
      <c r="B447" s="456"/>
      <c r="C447" s="433"/>
      <c r="D447" s="433"/>
      <c r="E447" s="460"/>
      <c r="F447" s="351"/>
      <c r="G447" s="456"/>
      <c r="H447" s="433"/>
      <c r="I447" s="353"/>
      <c r="J447" s="433"/>
    </row>
    <row r="448">
      <c r="A448" s="433"/>
      <c r="B448" s="456"/>
      <c r="C448" s="433"/>
      <c r="D448" s="433"/>
      <c r="E448" s="460"/>
      <c r="F448" s="351"/>
      <c r="G448" s="456"/>
      <c r="H448" s="433"/>
      <c r="I448" s="353"/>
      <c r="J448" s="433"/>
    </row>
    <row r="449">
      <c r="A449" s="433"/>
      <c r="B449" s="456"/>
      <c r="C449" s="433"/>
      <c r="D449" s="433"/>
      <c r="E449" s="460"/>
      <c r="F449" s="351"/>
      <c r="G449" s="456"/>
      <c r="H449" s="433"/>
      <c r="I449" s="353"/>
      <c r="J449" s="433"/>
    </row>
    <row r="450">
      <c r="A450" s="433"/>
      <c r="B450" s="456"/>
      <c r="C450" s="433"/>
      <c r="D450" s="433"/>
      <c r="E450" s="460"/>
      <c r="F450" s="351"/>
      <c r="G450" s="456"/>
      <c r="H450" s="433"/>
      <c r="I450" s="353"/>
      <c r="J450" s="433"/>
    </row>
    <row r="451">
      <c r="A451" s="433"/>
      <c r="B451" s="456"/>
      <c r="C451" s="433"/>
      <c r="D451" s="433"/>
      <c r="E451" s="460"/>
      <c r="F451" s="351"/>
      <c r="G451" s="456"/>
      <c r="H451" s="433"/>
      <c r="I451" s="353"/>
      <c r="J451" s="433"/>
    </row>
    <row r="452">
      <c r="A452" s="433"/>
      <c r="B452" s="456"/>
      <c r="C452" s="433"/>
      <c r="D452" s="433"/>
      <c r="E452" s="460"/>
      <c r="F452" s="351"/>
      <c r="G452" s="456"/>
      <c r="H452" s="433"/>
      <c r="I452" s="353"/>
      <c r="J452" s="433"/>
    </row>
    <row r="453">
      <c r="A453" s="433"/>
      <c r="B453" s="456"/>
      <c r="C453" s="433"/>
      <c r="D453" s="433"/>
      <c r="E453" s="460"/>
      <c r="F453" s="351"/>
      <c r="G453" s="456"/>
      <c r="H453" s="433"/>
      <c r="I453" s="353"/>
      <c r="J453" s="433"/>
    </row>
    <row r="454">
      <c r="A454" s="433"/>
      <c r="B454" s="456"/>
      <c r="C454" s="433"/>
      <c r="D454" s="433"/>
      <c r="E454" s="460"/>
      <c r="F454" s="351"/>
      <c r="G454" s="456"/>
      <c r="H454" s="433"/>
      <c r="I454" s="353"/>
      <c r="J454" s="433"/>
    </row>
    <row r="455">
      <c r="A455" s="433"/>
      <c r="B455" s="456"/>
      <c r="C455" s="433"/>
      <c r="D455" s="433"/>
      <c r="E455" s="460"/>
      <c r="F455" s="351"/>
      <c r="G455" s="456"/>
      <c r="H455" s="433"/>
      <c r="I455" s="353"/>
      <c r="J455" s="433"/>
    </row>
    <row r="456">
      <c r="A456" s="433"/>
      <c r="B456" s="456"/>
      <c r="C456" s="433"/>
      <c r="D456" s="433"/>
      <c r="E456" s="460"/>
      <c r="F456" s="351"/>
      <c r="G456" s="456"/>
      <c r="H456" s="433"/>
      <c r="I456" s="353"/>
      <c r="J456" s="433"/>
    </row>
    <row r="457">
      <c r="A457" s="433"/>
      <c r="B457" s="456"/>
      <c r="C457" s="433"/>
      <c r="D457" s="433"/>
      <c r="E457" s="460"/>
      <c r="F457" s="351"/>
      <c r="G457" s="456"/>
      <c r="H457" s="433"/>
      <c r="I457" s="353"/>
      <c r="J457" s="433"/>
    </row>
    <row r="458">
      <c r="A458" s="433"/>
      <c r="B458" s="456"/>
      <c r="C458" s="433"/>
      <c r="D458" s="433"/>
      <c r="E458" s="460"/>
      <c r="F458" s="351"/>
      <c r="G458" s="456"/>
      <c r="H458" s="433"/>
      <c r="I458" s="353"/>
      <c r="J458" s="433"/>
    </row>
    <row r="459">
      <c r="A459" s="433"/>
      <c r="B459" s="456"/>
      <c r="C459" s="433"/>
      <c r="D459" s="433"/>
      <c r="E459" s="460"/>
      <c r="F459" s="351"/>
      <c r="G459" s="456"/>
      <c r="H459" s="433"/>
      <c r="I459" s="353"/>
      <c r="J459" s="433"/>
    </row>
    <row r="460">
      <c r="A460" s="433"/>
      <c r="B460" s="456"/>
      <c r="C460" s="433"/>
      <c r="D460" s="433"/>
      <c r="E460" s="460"/>
      <c r="F460" s="351"/>
      <c r="G460" s="456"/>
      <c r="H460" s="433"/>
      <c r="I460" s="353"/>
      <c r="J460" s="433"/>
    </row>
    <row r="461">
      <c r="A461" s="433"/>
      <c r="B461" s="456"/>
      <c r="C461" s="433"/>
      <c r="D461" s="433"/>
      <c r="E461" s="460"/>
      <c r="F461" s="351"/>
      <c r="G461" s="456"/>
      <c r="H461" s="433"/>
      <c r="I461" s="353"/>
      <c r="J461" s="433"/>
    </row>
    <row r="462">
      <c r="A462" s="433"/>
      <c r="B462" s="456"/>
      <c r="C462" s="433"/>
      <c r="D462" s="433"/>
      <c r="E462" s="460"/>
      <c r="F462" s="351"/>
      <c r="G462" s="456"/>
      <c r="H462" s="433"/>
      <c r="I462" s="353"/>
      <c r="J462" s="433"/>
    </row>
    <row r="463">
      <c r="A463" s="433"/>
      <c r="B463" s="456"/>
      <c r="C463" s="433"/>
      <c r="D463" s="433"/>
      <c r="E463" s="460"/>
      <c r="F463" s="351"/>
      <c r="G463" s="456"/>
      <c r="H463" s="433"/>
      <c r="I463" s="353"/>
      <c r="J463" s="433"/>
    </row>
    <row r="464">
      <c r="A464" s="433"/>
      <c r="B464" s="456"/>
      <c r="C464" s="433"/>
      <c r="D464" s="433"/>
      <c r="E464" s="460"/>
      <c r="F464" s="351"/>
      <c r="G464" s="456"/>
      <c r="H464" s="433"/>
      <c r="I464" s="353"/>
      <c r="J464" s="433"/>
    </row>
    <row r="465">
      <c r="A465" s="433"/>
      <c r="B465" s="456"/>
      <c r="C465" s="433"/>
      <c r="D465" s="433"/>
      <c r="E465" s="460"/>
      <c r="F465" s="351"/>
      <c r="G465" s="456"/>
      <c r="H465" s="433"/>
      <c r="I465" s="353"/>
      <c r="J465" s="433"/>
    </row>
    <row r="466">
      <c r="A466" s="433"/>
      <c r="B466" s="456"/>
      <c r="C466" s="433"/>
      <c r="D466" s="433"/>
      <c r="E466" s="460"/>
      <c r="F466" s="351"/>
      <c r="G466" s="456"/>
      <c r="H466" s="433"/>
      <c r="I466" s="353"/>
      <c r="J466" s="433"/>
    </row>
    <row r="467">
      <c r="A467" s="433"/>
      <c r="B467" s="456"/>
      <c r="C467" s="433"/>
      <c r="D467" s="433"/>
      <c r="E467" s="460"/>
      <c r="F467" s="351"/>
      <c r="G467" s="456"/>
      <c r="H467" s="433"/>
      <c r="I467" s="353"/>
      <c r="J467" s="433"/>
    </row>
    <row r="468">
      <c r="A468" s="433"/>
      <c r="B468" s="456"/>
      <c r="C468" s="433"/>
      <c r="D468" s="433"/>
      <c r="E468" s="460"/>
      <c r="F468" s="351"/>
      <c r="G468" s="456"/>
      <c r="H468" s="433"/>
      <c r="I468" s="353"/>
      <c r="J468" s="433"/>
    </row>
    <row r="469">
      <c r="A469" s="433"/>
      <c r="B469" s="456"/>
      <c r="C469" s="433"/>
      <c r="D469" s="433"/>
      <c r="E469" s="460"/>
      <c r="F469" s="351"/>
      <c r="G469" s="456"/>
      <c r="H469" s="433"/>
      <c r="I469" s="353"/>
      <c r="J469" s="433"/>
    </row>
    <row r="470">
      <c r="A470" s="433"/>
      <c r="B470" s="456"/>
      <c r="C470" s="433"/>
      <c r="D470" s="433"/>
      <c r="E470" s="460"/>
      <c r="F470" s="351"/>
      <c r="G470" s="456"/>
      <c r="H470" s="433"/>
      <c r="I470" s="353"/>
      <c r="J470" s="433"/>
    </row>
    <row r="471">
      <c r="A471" s="433"/>
      <c r="B471" s="456"/>
      <c r="C471" s="433"/>
      <c r="D471" s="433"/>
      <c r="E471" s="460"/>
      <c r="F471" s="351"/>
      <c r="G471" s="456"/>
      <c r="H471" s="433"/>
      <c r="I471" s="353"/>
      <c r="J471" s="433"/>
    </row>
    <row r="472">
      <c r="A472" s="433"/>
      <c r="B472" s="456"/>
      <c r="C472" s="433"/>
      <c r="D472" s="433"/>
      <c r="E472" s="460"/>
      <c r="F472" s="351"/>
      <c r="G472" s="456"/>
      <c r="H472" s="433"/>
      <c r="I472" s="353"/>
      <c r="J472" s="433"/>
    </row>
    <row r="473">
      <c r="A473" s="433"/>
      <c r="B473" s="456"/>
      <c r="C473" s="433"/>
      <c r="D473" s="433"/>
      <c r="E473" s="460"/>
      <c r="F473" s="351"/>
      <c r="G473" s="456"/>
      <c r="H473" s="433"/>
      <c r="I473" s="353"/>
      <c r="J473" s="433"/>
    </row>
    <row r="474">
      <c r="A474" s="433"/>
      <c r="B474" s="456"/>
      <c r="C474" s="433"/>
      <c r="D474" s="433"/>
      <c r="E474" s="460"/>
      <c r="F474" s="351"/>
      <c r="G474" s="456"/>
      <c r="H474" s="433"/>
      <c r="I474" s="353"/>
      <c r="J474" s="433"/>
    </row>
    <row r="475">
      <c r="A475" s="433"/>
      <c r="B475" s="456"/>
      <c r="C475" s="433"/>
      <c r="D475" s="433"/>
      <c r="E475" s="460"/>
      <c r="F475" s="351"/>
      <c r="G475" s="456"/>
      <c r="H475" s="433"/>
      <c r="I475" s="353"/>
      <c r="J475" s="433"/>
    </row>
    <row r="476">
      <c r="A476" s="433"/>
      <c r="B476" s="456"/>
      <c r="C476" s="433"/>
      <c r="D476" s="433"/>
      <c r="E476" s="460"/>
      <c r="F476" s="351"/>
      <c r="G476" s="456"/>
      <c r="H476" s="433"/>
      <c r="I476" s="353"/>
      <c r="J476" s="433"/>
    </row>
    <row r="477">
      <c r="A477" s="433"/>
      <c r="B477" s="456"/>
      <c r="C477" s="433"/>
      <c r="D477" s="433"/>
      <c r="E477" s="460"/>
      <c r="F477" s="351"/>
      <c r="G477" s="456"/>
      <c r="H477" s="433"/>
      <c r="I477" s="353"/>
      <c r="J477" s="433"/>
    </row>
    <row r="478">
      <c r="A478" s="433"/>
      <c r="B478" s="456"/>
      <c r="C478" s="433"/>
      <c r="D478" s="433"/>
      <c r="E478" s="460"/>
      <c r="F478" s="351"/>
      <c r="G478" s="456"/>
      <c r="H478" s="433"/>
      <c r="I478" s="353"/>
      <c r="J478" s="433"/>
    </row>
    <row r="479">
      <c r="A479" s="433"/>
      <c r="B479" s="456"/>
      <c r="C479" s="433"/>
      <c r="D479" s="433"/>
      <c r="E479" s="460"/>
      <c r="F479" s="351"/>
      <c r="G479" s="456"/>
      <c r="H479" s="433"/>
      <c r="I479" s="353"/>
      <c r="J479" s="433"/>
    </row>
    <row r="480">
      <c r="A480" s="433"/>
      <c r="B480" s="456"/>
      <c r="C480" s="433"/>
      <c r="D480" s="433"/>
      <c r="E480" s="460"/>
      <c r="F480" s="351"/>
      <c r="G480" s="456"/>
      <c r="H480" s="433"/>
      <c r="I480" s="353"/>
      <c r="J480" s="433"/>
    </row>
    <row r="481">
      <c r="A481" s="433"/>
      <c r="B481" s="456"/>
      <c r="C481" s="433"/>
      <c r="D481" s="433"/>
      <c r="E481" s="460"/>
      <c r="F481" s="351"/>
      <c r="G481" s="456"/>
      <c r="H481" s="433"/>
      <c r="I481" s="353"/>
      <c r="J481" s="433"/>
    </row>
    <row r="482">
      <c r="A482" s="433"/>
      <c r="B482" s="456"/>
      <c r="C482" s="433"/>
      <c r="D482" s="433"/>
      <c r="E482" s="460"/>
      <c r="F482" s="351"/>
      <c r="G482" s="456"/>
      <c r="H482" s="433"/>
      <c r="I482" s="353"/>
      <c r="J482" s="433"/>
    </row>
    <row r="483">
      <c r="A483" s="433"/>
      <c r="B483" s="456"/>
      <c r="C483" s="433"/>
      <c r="D483" s="433"/>
      <c r="E483" s="460"/>
      <c r="F483" s="351"/>
      <c r="G483" s="456"/>
      <c r="H483" s="433"/>
      <c r="I483" s="353"/>
      <c r="J483" s="433"/>
    </row>
    <row r="484">
      <c r="A484" s="433"/>
      <c r="B484" s="456"/>
      <c r="C484" s="433"/>
      <c r="D484" s="433"/>
      <c r="E484" s="460"/>
      <c r="F484" s="351"/>
      <c r="G484" s="456"/>
      <c r="H484" s="433"/>
      <c r="I484" s="353"/>
      <c r="J484" s="433"/>
    </row>
    <row r="485">
      <c r="A485" s="433"/>
      <c r="B485" s="456"/>
      <c r="C485" s="433"/>
      <c r="D485" s="433"/>
      <c r="E485" s="460"/>
      <c r="F485" s="351"/>
      <c r="G485" s="456"/>
      <c r="H485" s="433"/>
      <c r="I485" s="353"/>
      <c r="J485" s="433"/>
    </row>
    <row r="486">
      <c r="A486" s="433"/>
      <c r="B486" s="456"/>
      <c r="C486" s="433"/>
      <c r="D486" s="433"/>
      <c r="E486" s="460"/>
      <c r="F486" s="351"/>
      <c r="G486" s="456"/>
      <c r="H486" s="433"/>
      <c r="I486" s="353"/>
      <c r="J486" s="433"/>
    </row>
    <row r="487">
      <c r="A487" s="433"/>
      <c r="B487" s="456"/>
      <c r="C487" s="433"/>
      <c r="D487" s="433"/>
      <c r="E487" s="460"/>
      <c r="F487" s="351"/>
      <c r="G487" s="456"/>
      <c r="H487" s="433"/>
      <c r="I487" s="353"/>
      <c r="J487" s="433"/>
    </row>
    <row r="488">
      <c r="A488" s="433"/>
      <c r="B488" s="456"/>
      <c r="C488" s="433"/>
      <c r="D488" s="433"/>
      <c r="E488" s="460"/>
      <c r="F488" s="351"/>
      <c r="G488" s="456"/>
      <c r="H488" s="433"/>
      <c r="I488" s="353"/>
      <c r="J488" s="433"/>
    </row>
    <row r="489">
      <c r="A489" s="433"/>
      <c r="B489" s="456"/>
      <c r="C489" s="433"/>
      <c r="D489" s="433"/>
      <c r="E489" s="460"/>
      <c r="F489" s="351"/>
      <c r="G489" s="456"/>
      <c r="H489" s="433"/>
      <c r="I489" s="353"/>
      <c r="J489" s="433"/>
    </row>
    <row r="490">
      <c r="A490" s="433"/>
      <c r="B490" s="456"/>
      <c r="C490" s="433"/>
      <c r="D490" s="433"/>
      <c r="E490" s="460"/>
      <c r="F490" s="351"/>
      <c r="G490" s="456"/>
      <c r="H490" s="433"/>
      <c r="I490" s="353"/>
      <c r="J490" s="433"/>
    </row>
    <row r="491">
      <c r="A491" s="433"/>
      <c r="B491" s="456"/>
      <c r="C491" s="433"/>
      <c r="D491" s="433"/>
      <c r="E491" s="460"/>
      <c r="F491" s="351"/>
      <c r="G491" s="456"/>
      <c r="H491" s="433"/>
      <c r="I491" s="353"/>
      <c r="J491" s="433"/>
    </row>
    <row r="492">
      <c r="A492" s="433"/>
      <c r="B492" s="456"/>
      <c r="C492" s="433"/>
      <c r="D492" s="433"/>
      <c r="E492" s="460"/>
      <c r="F492" s="351"/>
      <c r="G492" s="456"/>
      <c r="H492" s="433"/>
      <c r="I492" s="353"/>
      <c r="J492" s="433"/>
    </row>
    <row r="493">
      <c r="A493" s="433"/>
      <c r="B493" s="456"/>
      <c r="C493" s="433"/>
      <c r="D493" s="433"/>
      <c r="E493" s="460"/>
      <c r="F493" s="351"/>
      <c r="G493" s="456"/>
      <c r="H493" s="433"/>
      <c r="I493" s="353"/>
      <c r="J493" s="433"/>
    </row>
    <row r="494">
      <c r="A494" s="433"/>
      <c r="B494" s="456"/>
      <c r="C494" s="433"/>
      <c r="D494" s="433"/>
      <c r="E494" s="460"/>
      <c r="F494" s="351"/>
      <c r="G494" s="456"/>
      <c r="H494" s="433"/>
      <c r="I494" s="353"/>
      <c r="J494" s="433"/>
    </row>
    <row r="495">
      <c r="A495" s="433"/>
      <c r="B495" s="456"/>
      <c r="C495" s="433"/>
      <c r="D495" s="433"/>
      <c r="E495" s="460"/>
      <c r="F495" s="351"/>
      <c r="G495" s="456"/>
      <c r="H495" s="433"/>
      <c r="I495" s="353"/>
      <c r="J495" s="433"/>
    </row>
    <row r="496">
      <c r="A496" s="433"/>
      <c r="B496" s="456"/>
      <c r="C496" s="433"/>
      <c r="D496" s="433"/>
      <c r="E496" s="460"/>
      <c r="F496" s="351"/>
      <c r="G496" s="456"/>
      <c r="H496" s="433"/>
      <c r="I496" s="353"/>
      <c r="J496" s="433"/>
    </row>
    <row r="497">
      <c r="A497" s="433"/>
      <c r="B497" s="456"/>
      <c r="C497" s="433"/>
      <c r="D497" s="433"/>
      <c r="E497" s="460"/>
      <c r="F497" s="351"/>
      <c r="G497" s="456"/>
      <c r="H497" s="433"/>
      <c r="I497" s="353"/>
      <c r="J497" s="433"/>
    </row>
    <row r="498">
      <c r="A498" s="433"/>
      <c r="B498" s="456"/>
      <c r="C498" s="433"/>
      <c r="D498" s="433"/>
      <c r="E498" s="460"/>
      <c r="F498" s="351"/>
      <c r="G498" s="456"/>
      <c r="H498" s="433"/>
      <c r="I498" s="353"/>
      <c r="J498" s="433"/>
    </row>
    <row r="499">
      <c r="A499" s="433"/>
      <c r="B499" s="456"/>
      <c r="C499" s="433"/>
      <c r="D499" s="433"/>
      <c r="E499" s="460"/>
      <c r="F499" s="351"/>
      <c r="G499" s="456"/>
      <c r="H499" s="433"/>
      <c r="I499" s="353"/>
      <c r="J499" s="433"/>
    </row>
    <row r="500">
      <c r="A500" s="433"/>
      <c r="B500" s="456"/>
      <c r="C500" s="433"/>
      <c r="D500" s="433"/>
      <c r="E500" s="460"/>
      <c r="F500" s="351"/>
      <c r="G500" s="456"/>
      <c r="H500" s="433"/>
      <c r="I500" s="353"/>
      <c r="J500" s="433"/>
    </row>
    <row r="501">
      <c r="A501" s="433"/>
      <c r="B501" s="456"/>
      <c r="C501" s="433"/>
      <c r="D501" s="433"/>
      <c r="E501" s="460"/>
      <c r="F501" s="351"/>
      <c r="G501" s="456"/>
      <c r="H501" s="433"/>
      <c r="I501" s="353"/>
      <c r="J501" s="433"/>
    </row>
    <row r="502">
      <c r="A502" s="433"/>
      <c r="B502" s="456"/>
      <c r="C502" s="433"/>
      <c r="D502" s="433"/>
      <c r="E502" s="460"/>
      <c r="F502" s="351"/>
      <c r="G502" s="456"/>
      <c r="H502" s="433"/>
      <c r="I502" s="353"/>
      <c r="J502" s="433"/>
    </row>
    <row r="503">
      <c r="A503" s="433"/>
      <c r="B503" s="456"/>
      <c r="C503" s="433"/>
      <c r="D503" s="433"/>
      <c r="E503" s="460"/>
      <c r="F503" s="351"/>
      <c r="G503" s="456"/>
      <c r="H503" s="433"/>
      <c r="I503" s="353"/>
      <c r="J503" s="433"/>
    </row>
    <row r="504">
      <c r="A504" s="433"/>
      <c r="B504" s="456"/>
      <c r="C504" s="433"/>
      <c r="D504" s="433"/>
      <c r="E504" s="460"/>
      <c r="F504" s="351"/>
      <c r="G504" s="456"/>
      <c r="H504" s="433"/>
      <c r="I504" s="353"/>
      <c r="J504" s="433"/>
    </row>
    <row r="505">
      <c r="A505" s="433"/>
      <c r="B505" s="456"/>
      <c r="C505" s="433"/>
      <c r="D505" s="433"/>
      <c r="E505" s="460"/>
      <c r="F505" s="351"/>
      <c r="G505" s="456"/>
      <c r="H505" s="433"/>
      <c r="I505" s="353"/>
      <c r="J505" s="433"/>
    </row>
    <row r="506">
      <c r="A506" s="433"/>
      <c r="B506" s="456"/>
      <c r="C506" s="433"/>
      <c r="D506" s="433"/>
      <c r="E506" s="460"/>
      <c r="F506" s="351"/>
      <c r="G506" s="456"/>
      <c r="H506" s="433"/>
      <c r="I506" s="353"/>
      <c r="J506" s="433"/>
    </row>
    <row r="507">
      <c r="A507" s="433"/>
      <c r="B507" s="456"/>
      <c r="C507" s="433"/>
      <c r="D507" s="433"/>
      <c r="E507" s="460"/>
      <c r="F507" s="351"/>
      <c r="G507" s="456"/>
      <c r="H507" s="433"/>
      <c r="I507" s="353"/>
      <c r="J507" s="433"/>
    </row>
    <row r="508">
      <c r="A508" s="433"/>
      <c r="B508" s="456"/>
      <c r="C508" s="433"/>
      <c r="D508" s="433"/>
      <c r="E508" s="460"/>
      <c r="F508" s="351"/>
      <c r="G508" s="456"/>
      <c r="H508" s="433"/>
      <c r="I508" s="353"/>
      <c r="J508" s="433"/>
    </row>
    <row r="509">
      <c r="A509" s="433"/>
      <c r="B509" s="456"/>
      <c r="C509" s="433"/>
      <c r="D509" s="433"/>
      <c r="E509" s="460"/>
      <c r="F509" s="351"/>
      <c r="G509" s="456"/>
      <c r="H509" s="433"/>
      <c r="I509" s="353"/>
      <c r="J509" s="433"/>
    </row>
    <row r="510">
      <c r="A510" s="433"/>
      <c r="B510" s="456"/>
      <c r="C510" s="433"/>
      <c r="D510" s="433"/>
      <c r="E510" s="460"/>
      <c r="F510" s="351"/>
      <c r="G510" s="456"/>
      <c r="H510" s="433"/>
      <c r="I510" s="353"/>
      <c r="J510" s="433"/>
    </row>
    <row r="511">
      <c r="A511" s="433"/>
      <c r="B511" s="456"/>
      <c r="C511" s="433"/>
      <c r="D511" s="433"/>
      <c r="E511" s="460"/>
      <c r="F511" s="351"/>
      <c r="G511" s="456"/>
      <c r="H511" s="433"/>
      <c r="I511" s="353"/>
      <c r="J511" s="433"/>
    </row>
    <row r="512">
      <c r="A512" s="433"/>
      <c r="B512" s="456"/>
      <c r="C512" s="433"/>
      <c r="D512" s="433"/>
      <c r="E512" s="460"/>
      <c r="F512" s="351"/>
      <c r="G512" s="456"/>
      <c r="H512" s="433"/>
      <c r="I512" s="353"/>
      <c r="J512" s="433"/>
    </row>
    <row r="513">
      <c r="A513" s="433"/>
      <c r="B513" s="456"/>
      <c r="C513" s="433"/>
      <c r="D513" s="433"/>
      <c r="E513" s="460"/>
      <c r="F513" s="351"/>
      <c r="G513" s="456"/>
      <c r="H513" s="433"/>
      <c r="I513" s="353"/>
      <c r="J513" s="433"/>
    </row>
    <row r="514">
      <c r="A514" s="433"/>
      <c r="B514" s="456"/>
      <c r="C514" s="433"/>
      <c r="D514" s="433"/>
      <c r="E514" s="460"/>
      <c r="F514" s="351"/>
      <c r="G514" s="456"/>
      <c r="H514" s="433"/>
      <c r="I514" s="353"/>
      <c r="J514" s="433"/>
    </row>
    <row r="515">
      <c r="A515" s="433"/>
      <c r="B515" s="456"/>
      <c r="C515" s="433"/>
      <c r="D515" s="433"/>
      <c r="E515" s="460"/>
      <c r="F515" s="351"/>
      <c r="G515" s="456"/>
      <c r="H515" s="433"/>
      <c r="I515" s="353"/>
      <c r="J515" s="433"/>
    </row>
    <row r="516">
      <c r="A516" s="433"/>
      <c r="B516" s="456"/>
      <c r="C516" s="433"/>
      <c r="D516" s="433"/>
      <c r="E516" s="460"/>
      <c r="F516" s="351"/>
      <c r="G516" s="456"/>
      <c r="H516" s="433"/>
      <c r="I516" s="353"/>
      <c r="J516" s="433"/>
    </row>
    <row r="517">
      <c r="A517" s="433"/>
      <c r="B517" s="456"/>
      <c r="C517" s="433"/>
      <c r="D517" s="433"/>
      <c r="E517" s="460"/>
      <c r="F517" s="351"/>
      <c r="G517" s="456"/>
      <c r="H517" s="433"/>
      <c r="I517" s="353"/>
      <c r="J517" s="433"/>
    </row>
    <row r="518">
      <c r="A518" s="433"/>
      <c r="B518" s="456"/>
      <c r="C518" s="433"/>
      <c r="D518" s="433"/>
      <c r="E518" s="460"/>
      <c r="F518" s="351"/>
      <c r="G518" s="456"/>
      <c r="H518" s="433"/>
      <c r="I518" s="353"/>
      <c r="J518" s="433"/>
    </row>
    <row r="519">
      <c r="A519" s="433"/>
      <c r="B519" s="456"/>
      <c r="C519" s="433"/>
      <c r="D519" s="433"/>
      <c r="E519" s="460"/>
      <c r="F519" s="351"/>
      <c r="G519" s="456"/>
      <c r="H519" s="433"/>
      <c r="I519" s="353"/>
      <c r="J519" s="433"/>
    </row>
    <row r="520">
      <c r="A520" s="433"/>
      <c r="B520" s="456"/>
      <c r="C520" s="433"/>
      <c r="D520" s="433"/>
      <c r="E520" s="460"/>
      <c r="F520" s="351"/>
      <c r="G520" s="456"/>
      <c r="H520" s="433"/>
      <c r="I520" s="353"/>
      <c r="J520" s="433"/>
    </row>
    <row r="521">
      <c r="A521" s="433"/>
      <c r="B521" s="456"/>
      <c r="C521" s="433"/>
      <c r="D521" s="433"/>
      <c r="E521" s="460"/>
      <c r="F521" s="351"/>
      <c r="G521" s="456"/>
      <c r="H521" s="433"/>
      <c r="I521" s="353"/>
      <c r="J521" s="433"/>
    </row>
    <row r="522">
      <c r="A522" s="433"/>
      <c r="B522" s="456"/>
      <c r="C522" s="433"/>
      <c r="D522" s="433"/>
      <c r="E522" s="460"/>
      <c r="F522" s="351"/>
      <c r="G522" s="456"/>
      <c r="H522" s="433"/>
      <c r="I522" s="353"/>
      <c r="J522" s="433"/>
    </row>
    <row r="523">
      <c r="A523" s="433"/>
      <c r="B523" s="456"/>
      <c r="C523" s="433"/>
      <c r="D523" s="433"/>
      <c r="E523" s="460"/>
      <c r="F523" s="351"/>
      <c r="G523" s="456"/>
      <c r="H523" s="433"/>
      <c r="I523" s="353"/>
      <c r="J523" s="433"/>
    </row>
    <row r="524">
      <c r="A524" s="433"/>
      <c r="B524" s="456"/>
      <c r="C524" s="433"/>
      <c r="D524" s="433"/>
      <c r="E524" s="460"/>
      <c r="F524" s="351"/>
      <c r="G524" s="456"/>
      <c r="H524" s="433"/>
      <c r="I524" s="353"/>
      <c r="J524" s="433"/>
    </row>
    <row r="525">
      <c r="A525" s="433"/>
      <c r="B525" s="456"/>
      <c r="C525" s="433"/>
      <c r="D525" s="433"/>
      <c r="E525" s="460"/>
      <c r="F525" s="351"/>
      <c r="G525" s="456"/>
      <c r="H525" s="433"/>
      <c r="I525" s="353"/>
      <c r="J525" s="433"/>
    </row>
    <row r="526">
      <c r="A526" s="433"/>
      <c r="B526" s="456"/>
      <c r="C526" s="433"/>
      <c r="D526" s="433"/>
      <c r="E526" s="460"/>
      <c r="F526" s="351"/>
      <c r="G526" s="456"/>
      <c r="H526" s="433"/>
      <c r="I526" s="353"/>
      <c r="J526" s="433"/>
    </row>
    <row r="527">
      <c r="A527" s="433"/>
      <c r="B527" s="456"/>
      <c r="C527" s="433"/>
      <c r="D527" s="433"/>
      <c r="E527" s="460"/>
      <c r="F527" s="351"/>
      <c r="G527" s="456"/>
      <c r="H527" s="433"/>
      <c r="I527" s="353"/>
      <c r="J527" s="433"/>
    </row>
    <row r="528">
      <c r="A528" s="433"/>
      <c r="B528" s="456"/>
      <c r="C528" s="433"/>
      <c r="D528" s="433"/>
      <c r="E528" s="460"/>
      <c r="F528" s="351"/>
      <c r="G528" s="456"/>
      <c r="H528" s="433"/>
      <c r="I528" s="353"/>
      <c r="J528" s="433"/>
    </row>
    <row r="529">
      <c r="A529" s="433"/>
      <c r="B529" s="456"/>
      <c r="C529" s="433"/>
      <c r="D529" s="433"/>
      <c r="E529" s="460"/>
      <c r="F529" s="351"/>
      <c r="G529" s="456"/>
      <c r="H529" s="433"/>
      <c r="I529" s="353"/>
      <c r="J529" s="433"/>
    </row>
    <row r="530">
      <c r="A530" s="433"/>
      <c r="B530" s="456"/>
      <c r="C530" s="433"/>
      <c r="D530" s="433"/>
      <c r="E530" s="460"/>
      <c r="F530" s="351"/>
      <c r="G530" s="456"/>
      <c r="H530" s="433"/>
      <c r="I530" s="353"/>
      <c r="J530" s="433"/>
    </row>
    <row r="531">
      <c r="A531" s="433"/>
      <c r="B531" s="456"/>
      <c r="C531" s="433"/>
      <c r="D531" s="433"/>
      <c r="E531" s="460"/>
      <c r="F531" s="351"/>
      <c r="G531" s="456"/>
      <c r="H531" s="433"/>
      <c r="I531" s="353"/>
      <c r="J531" s="433"/>
    </row>
    <row r="532">
      <c r="A532" s="433"/>
      <c r="B532" s="456"/>
      <c r="C532" s="433"/>
      <c r="D532" s="433"/>
      <c r="E532" s="460"/>
      <c r="F532" s="351"/>
      <c r="G532" s="456"/>
      <c r="H532" s="433"/>
      <c r="I532" s="353"/>
      <c r="J532" s="433"/>
    </row>
    <row r="533">
      <c r="A533" s="433"/>
      <c r="B533" s="456"/>
      <c r="C533" s="433"/>
      <c r="D533" s="433"/>
      <c r="E533" s="460"/>
      <c r="F533" s="351"/>
      <c r="G533" s="456"/>
      <c r="H533" s="433"/>
      <c r="I533" s="353"/>
      <c r="J533" s="433"/>
    </row>
    <row r="534">
      <c r="A534" s="433"/>
      <c r="B534" s="456"/>
      <c r="C534" s="433"/>
      <c r="D534" s="433"/>
      <c r="E534" s="460"/>
      <c r="F534" s="351"/>
      <c r="G534" s="456"/>
      <c r="H534" s="433"/>
      <c r="I534" s="353"/>
      <c r="J534" s="433"/>
    </row>
    <row r="535">
      <c r="A535" s="433"/>
      <c r="B535" s="456"/>
      <c r="C535" s="433"/>
      <c r="D535" s="433"/>
      <c r="E535" s="460"/>
      <c r="F535" s="351"/>
      <c r="G535" s="456"/>
      <c r="H535" s="433"/>
      <c r="I535" s="353"/>
      <c r="J535" s="433"/>
    </row>
    <row r="536">
      <c r="A536" s="433"/>
      <c r="B536" s="456"/>
      <c r="C536" s="433"/>
      <c r="D536" s="433"/>
      <c r="E536" s="460"/>
      <c r="F536" s="351"/>
      <c r="G536" s="456"/>
      <c r="H536" s="433"/>
      <c r="I536" s="353"/>
      <c r="J536" s="433"/>
    </row>
    <row r="537">
      <c r="A537" s="433"/>
      <c r="B537" s="456"/>
      <c r="C537" s="433"/>
      <c r="D537" s="433"/>
      <c r="E537" s="460"/>
      <c r="F537" s="351"/>
      <c r="G537" s="456"/>
      <c r="H537" s="433"/>
      <c r="I537" s="353"/>
      <c r="J537" s="433"/>
    </row>
    <row r="538">
      <c r="A538" s="433"/>
      <c r="B538" s="456"/>
      <c r="C538" s="433"/>
      <c r="D538" s="433"/>
      <c r="E538" s="460"/>
      <c r="F538" s="351"/>
      <c r="G538" s="456"/>
      <c r="H538" s="433"/>
      <c r="I538" s="353"/>
      <c r="J538" s="433"/>
    </row>
    <row r="539">
      <c r="A539" s="433"/>
      <c r="B539" s="456"/>
      <c r="C539" s="433"/>
      <c r="D539" s="433"/>
      <c r="E539" s="460"/>
      <c r="F539" s="351"/>
      <c r="G539" s="456"/>
      <c r="H539" s="433"/>
      <c r="I539" s="353"/>
      <c r="J539" s="433"/>
    </row>
    <row r="540">
      <c r="A540" s="433"/>
      <c r="B540" s="456"/>
      <c r="C540" s="433"/>
      <c r="D540" s="433"/>
      <c r="E540" s="460"/>
      <c r="F540" s="351"/>
      <c r="G540" s="456"/>
      <c r="H540" s="433"/>
      <c r="I540" s="353"/>
      <c r="J540" s="433"/>
    </row>
    <row r="541">
      <c r="A541" s="433"/>
      <c r="B541" s="456"/>
      <c r="C541" s="433"/>
      <c r="D541" s="433"/>
      <c r="E541" s="460"/>
      <c r="F541" s="351"/>
      <c r="G541" s="456"/>
      <c r="H541" s="433"/>
      <c r="I541" s="353"/>
      <c r="J541" s="433"/>
    </row>
    <row r="542">
      <c r="A542" s="433"/>
      <c r="B542" s="456"/>
      <c r="C542" s="433"/>
      <c r="D542" s="433"/>
      <c r="E542" s="460"/>
      <c r="F542" s="351"/>
      <c r="G542" s="456"/>
      <c r="H542" s="433"/>
      <c r="I542" s="353"/>
      <c r="J542" s="433"/>
    </row>
    <row r="543">
      <c r="A543" s="433"/>
      <c r="B543" s="456"/>
      <c r="C543" s="433"/>
      <c r="D543" s="433"/>
      <c r="E543" s="460"/>
      <c r="F543" s="351"/>
      <c r="G543" s="456"/>
      <c r="H543" s="433"/>
      <c r="I543" s="353"/>
      <c r="J543" s="433"/>
    </row>
    <row r="544">
      <c r="A544" s="433"/>
      <c r="B544" s="456"/>
      <c r="C544" s="433"/>
      <c r="D544" s="433"/>
      <c r="E544" s="460"/>
      <c r="F544" s="351"/>
      <c r="G544" s="456"/>
      <c r="H544" s="433"/>
      <c r="I544" s="353"/>
      <c r="J544" s="433"/>
    </row>
    <row r="545">
      <c r="A545" s="433"/>
      <c r="B545" s="456"/>
      <c r="C545" s="433"/>
      <c r="D545" s="433"/>
      <c r="E545" s="460"/>
      <c r="F545" s="351"/>
      <c r="G545" s="456"/>
      <c r="H545" s="433"/>
      <c r="I545" s="353"/>
      <c r="J545" s="433"/>
    </row>
    <row r="546">
      <c r="A546" s="433"/>
      <c r="B546" s="456"/>
      <c r="C546" s="433"/>
      <c r="D546" s="433"/>
      <c r="E546" s="460"/>
      <c r="F546" s="351"/>
      <c r="G546" s="456"/>
      <c r="H546" s="433"/>
      <c r="I546" s="353"/>
      <c r="J546" s="433"/>
    </row>
    <row r="547">
      <c r="A547" s="433"/>
      <c r="B547" s="456"/>
      <c r="C547" s="433"/>
      <c r="D547" s="433"/>
      <c r="E547" s="460"/>
      <c r="F547" s="351"/>
      <c r="G547" s="456"/>
      <c r="H547" s="433"/>
      <c r="I547" s="353"/>
      <c r="J547" s="433"/>
    </row>
    <row r="548">
      <c r="A548" s="433"/>
      <c r="B548" s="456"/>
      <c r="C548" s="433"/>
      <c r="D548" s="433"/>
      <c r="E548" s="460"/>
      <c r="F548" s="351"/>
      <c r="G548" s="456"/>
      <c r="H548" s="433"/>
      <c r="I548" s="353"/>
      <c r="J548" s="433"/>
    </row>
    <row r="549">
      <c r="A549" s="433"/>
      <c r="B549" s="456"/>
      <c r="C549" s="433"/>
      <c r="D549" s="433"/>
      <c r="E549" s="460"/>
      <c r="F549" s="351"/>
      <c r="G549" s="456"/>
      <c r="H549" s="433"/>
      <c r="I549" s="353"/>
      <c r="J549" s="433"/>
    </row>
    <row r="550">
      <c r="A550" s="433"/>
      <c r="B550" s="456"/>
      <c r="C550" s="433"/>
      <c r="D550" s="433"/>
      <c r="E550" s="460"/>
      <c r="F550" s="351"/>
      <c r="G550" s="456"/>
      <c r="H550" s="433"/>
      <c r="I550" s="353"/>
      <c r="J550" s="433"/>
    </row>
    <row r="551">
      <c r="A551" s="433"/>
      <c r="B551" s="456"/>
      <c r="C551" s="433"/>
      <c r="D551" s="433"/>
      <c r="E551" s="460"/>
      <c r="F551" s="351"/>
      <c r="G551" s="456"/>
      <c r="H551" s="433"/>
      <c r="I551" s="353"/>
      <c r="J551" s="433"/>
    </row>
    <row r="552">
      <c r="A552" s="433"/>
      <c r="B552" s="456"/>
      <c r="C552" s="433"/>
      <c r="D552" s="433"/>
      <c r="E552" s="460"/>
      <c r="F552" s="351"/>
      <c r="G552" s="456"/>
      <c r="H552" s="433"/>
      <c r="I552" s="353"/>
      <c r="J552" s="433"/>
    </row>
    <row r="553">
      <c r="A553" s="433"/>
      <c r="B553" s="456"/>
      <c r="C553" s="433"/>
      <c r="D553" s="433"/>
      <c r="E553" s="460"/>
      <c r="F553" s="351"/>
      <c r="G553" s="456"/>
      <c r="H553" s="433"/>
      <c r="I553" s="353"/>
      <c r="J553" s="433"/>
    </row>
    <row r="554">
      <c r="A554" s="433"/>
      <c r="B554" s="456"/>
      <c r="C554" s="433"/>
      <c r="D554" s="433"/>
      <c r="E554" s="460"/>
      <c r="F554" s="351"/>
      <c r="G554" s="456"/>
      <c r="H554" s="433"/>
      <c r="I554" s="353"/>
      <c r="J554" s="433"/>
    </row>
    <row r="555">
      <c r="A555" s="433"/>
      <c r="B555" s="456"/>
      <c r="C555" s="433"/>
      <c r="D555" s="433"/>
      <c r="E555" s="460"/>
      <c r="F555" s="351"/>
      <c r="G555" s="456"/>
      <c r="H555" s="433"/>
      <c r="I555" s="353"/>
      <c r="J555" s="433"/>
    </row>
    <row r="556">
      <c r="A556" s="433"/>
      <c r="B556" s="456"/>
      <c r="C556" s="433"/>
      <c r="D556" s="433"/>
      <c r="E556" s="460"/>
      <c r="F556" s="351"/>
      <c r="G556" s="456"/>
      <c r="H556" s="433"/>
      <c r="I556" s="353"/>
      <c r="J556" s="433"/>
    </row>
    <row r="557">
      <c r="A557" s="433"/>
      <c r="B557" s="456"/>
      <c r="C557" s="433"/>
      <c r="D557" s="433"/>
      <c r="E557" s="460"/>
      <c r="F557" s="351"/>
      <c r="G557" s="456"/>
      <c r="H557" s="433"/>
      <c r="I557" s="353"/>
      <c r="J557" s="433"/>
    </row>
    <row r="558">
      <c r="A558" s="433"/>
      <c r="B558" s="456"/>
      <c r="C558" s="433"/>
      <c r="D558" s="433"/>
      <c r="E558" s="460"/>
      <c r="F558" s="351"/>
      <c r="G558" s="456"/>
      <c r="H558" s="433"/>
      <c r="I558" s="353"/>
      <c r="J558" s="433"/>
    </row>
    <row r="559">
      <c r="A559" s="433"/>
      <c r="B559" s="456"/>
      <c r="C559" s="433"/>
      <c r="D559" s="433"/>
      <c r="E559" s="460"/>
      <c r="F559" s="351"/>
      <c r="G559" s="456"/>
      <c r="H559" s="433"/>
      <c r="I559" s="353"/>
      <c r="J559" s="433"/>
    </row>
    <row r="560">
      <c r="A560" s="433"/>
      <c r="B560" s="456"/>
      <c r="C560" s="433"/>
      <c r="D560" s="433"/>
      <c r="E560" s="460"/>
      <c r="F560" s="351"/>
      <c r="G560" s="456"/>
      <c r="H560" s="433"/>
      <c r="I560" s="353"/>
      <c r="J560" s="433"/>
    </row>
    <row r="561">
      <c r="A561" s="433"/>
      <c r="B561" s="456"/>
      <c r="C561" s="433"/>
      <c r="D561" s="433"/>
      <c r="E561" s="460"/>
      <c r="F561" s="351"/>
      <c r="G561" s="456"/>
      <c r="H561" s="433"/>
      <c r="I561" s="353"/>
      <c r="J561" s="433"/>
    </row>
    <row r="562">
      <c r="A562" s="433"/>
      <c r="B562" s="456"/>
      <c r="C562" s="433"/>
      <c r="D562" s="433"/>
      <c r="E562" s="460"/>
      <c r="F562" s="351"/>
      <c r="G562" s="456"/>
      <c r="H562" s="433"/>
      <c r="I562" s="353"/>
      <c r="J562" s="433"/>
    </row>
    <row r="563">
      <c r="A563" s="433"/>
      <c r="B563" s="456"/>
      <c r="C563" s="433"/>
      <c r="D563" s="433"/>
      <c r="E563" s="460"/>
      <c r="F563" s="351"/>
      <c r="G563" s="456"/>
      <c r="H563" s="433"/>
      <c r="I563" s="353"/>
      <c r="J563" s="433"/>
    </row>
    <row r="564">
      <c r="A564" s="433"/>
      <c r="B564" s="456"/>
      <c r="C564" s="433"/>
      <c r="D564" s="433"/>
      <c r="E564" s="460"/>
      <c r="F564" s="351"/>
      <c r="G564" s="456"/>
      <c r="H564" s="433"/>
      <c r="I564" s="353"/>
      <c r="J564" s="433"/>
    </row>
    <row r="565">
      <c r="A565" s="433"/>
      <c r="B565" s="456"/>
      <c r="C565" s="433"/>
      <c r="D565" s="433"/>
      <c r="E565" s="460"/>
      <c r="F565" s="351"/>
      <c r="G565" s="456"/>
      <c r="H565" s="433"/>
      <c r="I565" s="353"/>
      <c r="J565" s="433"/>
    </row>
    <row r="566">
      <c r="A566" s="433"/>
      <c r="B566" s="456"/>
      <c r="C566" s="433"/>
      <c r="D566" s="433"/>
      <c r="E566" s="460"/>
      <c r="F566" s="351"/>
      <c r="G566" s="456"/>
      <c r="H566" s="433"/>
      <c r="I566" s="353"/>
      <c r="J566" s="433"/>
    </row>
    <row r="567">
      <c r="A567" s="433"/>
      <c r="B567" s="456"/>
      <c r="C567" s="433"/>
      <c r="D567" s="433"/>
      <c r="E567" s="460"/>
      <c r="F567" s="351"/>
      <c r="G567" s="456"/>
      <c r="H567" s="433"/>
      <c r="I567" s="353"/>
      <c r="J567" s="433"/>
    </row>
    <row r="568">
      <c r="A568" s="433"/>
      <c r="B568" s="456"/>
      <c r="C568" s="433"/>
      <c r="D568" s="433"/>
      <c r="E568" s="460"/>
      <c r="F568" s="351"/>
      <c r="G568" s="456"/>
      <c r="H568" s="433"/>
      <c r="I568" s="353"/>
      <c r="J568" s="433"/>
    </row>
    <row r="569">
      <c r="A569" s="433"/>
      <c r="B569" s="456"/>
      <c r="C569" s="433"/>
      <c r="D569" s="433"/>
      <c r="E569" s="460"/>
      <c r="F569" s="351"/>
      <c r="G569" s="456"/>
      <c r="H569" s="433"/>
      <c r="I569" s="353"/>
      <c r="J569" s="433"/>
    </row>
    <row r="570">
      <c r="A570" s="433"/>
      <c r="B570" s="456"/>
      <c r="C570" s="433"/>
      <c r="D570" s="433"/>
      <c r="E570" s="460"/>
      <c r="F570" s="351"/>
      <c r="G570" s="456"/>
      <c r="H570" s="433"/>
      <c r="I570" s="353"/>
      <c r="J570" s="433"/>
    </row>
    <row r="571">
      <c r="A571" s="433"/>
      <c r="B571" s="456"/>
      <c r="C571" s="433"/>
      <c r="D571" s="433"/>
      <c r="E571" s="460"/>
      <c r="F571" s="351"/>
      <c r="G571" s="456"/>
      <c r="H571" s="433"/>
      <c r="I571" s="353"/>
      <c r="J571" s="433"/>
    </row>
    <row r="572">
      <c r="A572" s="433"/>
      <c r="B572" s="456"/>
      <c r="C572" s="433"/>
      <c r="D572" s="433"/>
      <c r="E572" s="460"/>
      <c r="F572" s="351"/>
      <c r="G572" s="456"/>
      <c r="H572" s="433"/>
      <c r="I572" s="353"/>
      <c r="J572" s="433"/>
    </row>
    <row r="573">
      <c r="A573" s="433"/>
      <c r="B573" s="456"/>
      <c r="C573" s="433"/>
      <c r="D573" s="433"/>
      <c r="E573" s="460"/>
      <c r="F573" s="351"/>
      <c r="G573" s="456"/>
      <c r="H573" s="433"/>
      <c r="I573" s="353"/>
      <c r="J573" s="433"/>
    </row>
    <row r="574">
      <c r="A574" s="433"/>
      <c r="B574" s="456"/>
      <c r="C574" s="433"/>
      <c r="D574" s="433"/>
      <c r="E574" s="460"/>
      <c r="F574" s="351"/>
      <c r="G574" s="456"/>
      <c r="H574" s="433"/>
      <c r="I574" s="353"/>
      <c r="J574" s="433"/>
    </row>
    <row r="575">
      <c r="A575" s="433"/>
      <c r="B575" s="456"/>
      <c r="C575" s="433"/>
      <c r="D575" s="433"/>
      <c r="E575" s="460"/>
      <c r="F575" s="351"/>
      <c r="G575" s="456"/>
      <c r="H575" s="433"/>
      <c r="I575" s="353"/>
      <c r="J575" s="433"/>
    </row>
    <row r="576">
      <c r="A576" s="433"/>
      <c r="B576" s="456"/>
      <c r="C576" s="433"/>
      <c r="D576" s="433"/>
      <c r="E576" s="460"/>
      <c r="F576" s="351"/>
      <c r="G576" s="456"/>
      <c r="H576" s="433"/>
      <c r="I576" s="353"/>
      <c r="J576" s="433"/>
    </row>
    <row r="577">
      <c r="A577" s="433"/>
      <c r="B577" s="456"/>
      <c r="C577" s="433"/>
      <c r="D577" s="433"/>
      <c r="E577" s="460"/>
      <c r="F577" s="351"/>
      <c r="G577" s="456"/>
      <c r="H577" s="433"/>
      <c r="I577" s="353"/>
      <c r="J577" s="433"/>
    </row>
    <row r="578">
      <c r="A578" s="433"/>
      <c r="B578" s="456"/>
      <c r="C578" s="433"/>
      <c r="D578" s="433"/>
      <c r="E578" s="460"/>
      <c r="F578" s="351"/>
      <c r="G578" s="456"/>
      <c r="H578" s="433"/>
      <c r="I578" s="353"/>
      <c r="J578" s="433"/>
    </row>
    <row r="579">
      <c r="A579" s="433"/>
      <c r="B579" s="456"/>
      <c r="C579" s="433"/>
      <c r="D579" s="433"/>
      <c r="E579" s="460"/>
      <c r="F579" s="351"/>
      <c r="G579" s="456"/>
      <c r="H579" s="433"/>
      <c r="I579" s="353"/>
      <c r="J579" s="433"/>
    </row>
    <row r="580">
      <c r="A580" s="433"/>
      <c r="B580" s="456"/>
      <c r="C580" s="433"/>
      <c r="D580" s="433"/>
      <c r="E580" s="460"/>
      <c r="F580" s="351"/>
      <c r="G580" s="456"/>
      <c r="H580" s="433"/>
      <c r="I580" s="353"/>
      <c r="J580" s="433"/>
    </row>
    <row r="581">
      <c r="A581" s="433"/>
      <c r="B581" s="456"/>
      <c r="C581" s="433"/>
      <c r="D581" s="433"/>
      <c r="E581" s="460"/>
      <c r="F581" s="351"/>
      <c r="G581" s="456"/>
      <c r="H581" s="433"/>
      <c r="I581" s="353"/>
      <c r="J581" s="433"/>
    </row>
    <row r="582">
      <c r="A582" s="433"/>
      <c r="B582" s="456"/>
      <c r="C582" s="433"/>
      <c r="D582" s="433"/>
      <c r="E582" s="460"/>
      <c r="F582" s="351"/>
      <c r="G582" s="456"/>
      <c r="H582" s="433"/>
      <c r="I582" s="353"/>
      <c r="J582" s="433"/>
    </row>
    <row r="583">
      <c r="A583" s="433"/>
      <c r="B583" s="456"/>
      <c r="C583" s="433"/>
      <c r="D583" s="433"/>
      <c r="E583" s="460"/>
      <c r="F583" s="351"/>
      <c r="G583" s="456"/>
      <c r="H583" s="433"/>
      <c r="I583" s="353"/>
      <c r="J583" s="433"/>
    </row>
    <row r="584">
      <c r="A584" s="433"/>
      <c r="B584" s="456"/>
      <c r="C584" s="433"/>
      <c r="D584" s="433"/>
      <c r="E584" s="460"/>
      <c r="F584" s="351"/>
      <c r="G584" s="456"/>
      <c r="H584" s="433"/>
      <c r="I584" s="353"/>
      <c r="J584" s="433"/>
    </row>
    <row r="585">
      <c r="A585" s="433"/>
      <c r="B585" s="456"/>
      <c r="C585" s="433"/>
      <c r="D585" s="433"/>
      <c r="E585" s="460"/>
      <c r="F585" s="351"/>
      <c r="G585" s="456"/>
      <c r="H585" s="433"/>
      <c r="I585" s="353"/>
      <c r="J585" s="433"/>
    </row>
    <row r="586">
      <c r="A586" s="433"/>
      <c r="B586" s="456"/>
      <c r="C586" s="433"/>
      <c r="D586" s="433"/>
      <c r="E586" s="460"/>
      <c r="F586" s="351"/>
      <c r="G586" s="456"/>
      <c r="H586" s="433"/>
      <c r="I586" s="353"/>
      <c r="J586" s="433"/>
    </row>
    <row r="587">
      <c r="A587" s="433"/>
      <c r="B587" s="456"/>
      <c r="C587" s="433"/>
      <c r="D587" s="433"/>
      <c r="E587" s="460"/>
      <c r="F587" s="351"/>
      <c r="G587" s="456"/>
      <c r="H587" s="433"/>
      <c r="I587" s="353"/>
      <c r="J587" s="433"/>
    </row>
    <row r="588">
      <c r="A588" s="433"/>
      <c r="B588" s="456"/>
      <c r="C588" s="433"/>
      <c r="D588" s="433"/>
      <c r="E588" s="460"/>
      <c r="F588" s="351"/>
      <c r="G588" s="456"/>
      <c r="H588" s="433"/>
      <c r="I588" s="353"/>
      <c r="J588" s="433"/>
    </row>
    <row r="589">
      <c r="A589" s="433"/>
      <c r="B589" s="456"/>
      <c r="C589" s="433"/>
      <c r="D589" s="433"/>
      <c r="E589" s="460"/>
      <c r="F589" s="351"/>
      <c r="G589" s="456"/>
      <c r="H589" s="433"/>
      <c r="I589" s="353"/>
      <c r="J589" s="433"/>
    </row>
    <row r="590">
      <c r="A590" s="433"/>
      <c r="B590" s="456"/>
      <c r="C590" s="433"/>
      <c r="D590" s="433"/>
      <c r="E590" s="460"/>
      <c r="F590" s="351"/>
      <c r="G590" s="456"/>
      <c r="H590" s="433"/>
      <c r="I590" s="353"/>
      <c r="J590" s="433"/>
    </row>
    <row r="591">
      <c r="A591" s="433"/>
      <c r="B591" s="456"/>
      <c r="C591" s="433"/>
      <c r="D591" s="433"/>
      <c r="E591" s="460"/>
      <c r="F591" s="351"/>
      <c r="G591" s="456"/>
      <c r="H591" s="433"/>
      <c r="I591" s="353"/>
      <c r="J591" s="433"/>
    </row>
    <row r="592">
      <c r="A592" s="433"/>
      <c r="B592" s="456"/>
      <c r="C592" s="433"/>
      <c r="D592" s="433"/>
      <c r="E592" s="460"/>
      <c r="F592" s="351"/>
      <c r="G592" s="456"/>
      <c r="H592" s="433"/>
      <c r="I592" s="353"/>
      <c r="J592" s="433"/>
    </row>
    <row r="593">
      <c r="A593" s="433"/>
      <c r="B593" s="456"/>
      <c r="C593" s="433"/>
      <c r="D593" s="433"/>
      <c r="E593" s="460"/>
      <c r="F593" s="351"/>
      <c r="G593" s="456"/>
      <c r="H593" s="433"/>
      <c r="I593" s="353"/>
      <c r="J593" s="433"/>
    </row>
    <row r="594">
      <c r="A594" s="433"/>
      <c r="B594" s="456"/>
      <c r="C594" s="433"/>
      <c r="D594" s="433"/>
      <c r="E594" s="460"/>
      <c r="F594" s="351"/>
      <c r="G594" s="456"/>
      <c r="H594" s="433"/>
      <c r="I594" s="353"/>
      <c r="J594" s="433"/>
    </row>
    <row r="595">
      <c r="A595" s="433"/>
      <c r="B595" s="456"/>
      <c r="C595" s="433"/>
      <c r="D595" s="433"/>
      <c r="E595" s="460"/>
      <c r="F595" s="351"/>
      <c r="G595" s="456"/>
      <c r="H595" s="433"/>
      <c r="I595" s="353"/>
      <c r="J595" s="433"/>
    </row>
    <row r="596">
      <c r="A596" s="433"/>
      <c r="B596" s="456"/>
      <c r="C596" s="433"/>
      <c r="D596" s="433"/>
      <c r="E596" s="460"/>
      <c r="F596" s="351"/>
      <c r="G596" s="456"/>
      <c r="H596" s="433"/>
      <c r="I596" s="353"/>
      <c r="J596" s="433"/>
    </row>
    <row r="597">
      <c r="A597" s="433"/>
      <c r="B597" s="456"/>
      <c r="C597" s="433"/>
      <c r="D597" s="433"/>
      <c r="E597" s="460"/>
      <c r="F597" s="351"/>
      <c r="G597" s="456"/>
      <c r="H597" s="433"/>
      <c r="I597" s="353"/>
      <c r="J597" s="433"/>
    </row>
    <row r="598">
      <c r="A598" s="433"/>
      <c r="B598" s="456"/>
      <c r="C598" s="433"/>
      <c r="D598" s="433"/>
      <c r="E598" s="460"/>
      <c r="F598" s="351"/>
      <c r="G598" s="456"/>
      <c r="H598" s="433"/>
      <c r="I598" s="353"/>
      <c r="J598" s="433"/>
    </row>
    <row r="599">
      <c r="A599" s="433"/>
      <c r="B599" s="456"/>
      <c r="C599" s="433"/>
      <c r="D599" s="433"/>
      <c r="E599" s="460"/>
      <c r="F599" s="351"/>
      <c r="G599" s="456"/>
      <c r="H599" s="433"/>
      <c r="I599" s="353"/>
      <c r="J599" s="433"/>
    </row>
    <row r="600">
      <c r="A600" s="433"/>
      <c r="B600" s="456"/>
      <c r="C600" s="433"/>
      <c r="D600" s="433"/>
      <c r="E600" s="460"/>
      <c r="F600" s="351"/>
      <c r="G600" s="456"/>
      <c r="H600" s="433"/>
      <c r="I600" s="353"/>
      <c r="J600" s="433"/>
    </row>
    <row r="601">
      <c r="A601" s="433"/>
      <c r="B601" s="456"/>
      <c r="C601" s="433"/>
      <c r="D601" s="433"/>
      <c r="E601" s="460"/>
      <c r="F601" s="351"/>
      <c r="G601" s="456"/>
      <c r="H601" s="433"/>
      <c r="I601" s="353"/>
      <c r="J601" s="433"/>
    </row>
    <row r="602">
      <c r="A602" s="433"/>
      <c r="B602" s="456"/>
      <c r="C602" s="433"/>
      <c r="D602" s="433"/>
      <c r="E602" s="460"/>
      <c r="F602" s="351"/>
      <c r="G602" s="456"/>
      <c r="H602" s="433"/>
      <c r="I602" s="353"/>
      <c r="J602" s="433"/>
    </row>
    <row r="603">
      <c r="A603" s="433"/>
      <c r="B603" s="456"/>
      <c r="C603" s="433"/>
      <c r="D603" s="433"/>
      <c r="E603" s="460"/>
      <c r="F603" s="351"/>
      <c r="G603" s="456"/>
      <c r="H603" s="433"/>
      <c r="I603" s="353"/>
      <c r="J603" s="433"/>
    </row>
    <row r="604">
      <c r="A604" s="433"/>
      <c r="B604" s="456"/>
      <c r="C604" s="433"/>
      <c r="D604" s="433"/>
      <c r="E604" s="460"/>
      <c r="F604" s="351"/>
      <c r="G604" s="456"/>
      <c r="H604" s="433"/>
      <c r="I604" s="353"/>
      <c r="J604" s="433"/>
    </row>
    <row r="605">
      <c r="A605" s="433"/>
      <c r="B605" s="456"/>
      <c r="C605" s="433"/>
      <c r="D605" s="433"/>
      <c r="E605" s="460"/>
      <c r="F605" s="351"/>
      <c r="G605" s="456"/>
      <c r="H605" s="433"/>
      <c r="I605" s="353"/>
      <c r="J605" s="433"/>
    </row>
    <row r="606">
      <c r="A606" s="433"/>
      <c r="B606" s="456"/>
      <c r="C606" s="433"/>
      <c r="D606" s="433"/>
      <c r="E606" s="460"/>
      <c r="F606" s="351"/>
      <c r="G606" s="456"/>
      <c r="H606" s="433"/>
      <c r="I606" s="353"/>
      <c r="J606" s="433"/>
    </row>
    <row r="607">
      <c r="A607" s="433"/>
      <c r="B607" s="456"/>
      <c r="C607" s="433"/>
      <c r="D607" s="433"/>
      <c r="E607" s="460"/>
      <c r="F607" s="351"/>
      <c r="G607" s="456"/>
      <c r="H607" s="433"/>
      <c r="I607" s="353"/>
      <c r="J607" s="433"/>
    </row>
    <row r="608">
      <c r="A608" s="433"/>
      <c r="B608" s="456"/>
      <c r="C608" s="433"/>
      <c r="D608" s="433"/>
      <c r="E608" s="460"/>
      <c r="F608" s="351"/>
      <c r="G608" s="456"/>
      <c r="H608" s="433"/>
      <c r="I608" s="353"/>
      <c r="J608" s="433"/>
    </row>
    <row r="609">
      <c r="A609" s="433"/>
      <c r="B609" s="456"/>
      <c r="C609" s="433"/>
      <c r="D609" s="433"/>
      <c r="E609" s="460"/>
      <c r="F609" s="351"/>
      <c r="G609" s="456"/>
      <c r="H609" s="433"/>
      <c r="I609" s="353"/>
      <c r="J609" s="433"/>
    </row>
    <row r="610">
      <c r="A610" s="433"/>
      <c r="B610" s="456"/>
      <c r="C610" s="433"/>
      <c r="D610" s="433"/>
      <c r="E610" s="460"/>
      <c r="F610" s="351"/>
      <c r="G610" s="456"/>
      <c r="H610" s="433"/>
      <c r="I610" s="353"/>
      <c r="J610" s="433"/>
    </row>
    <row r="611">
      <c r="A611" s="433"/>
      <c r="B611" s="456"/>
      <c r="C611" s="433"/>
      <c r="D611" s="433"/>
      <c r="E611" s="460"/>
      <c r="F611" s="351"/>
      <c r="G611" s="456"/>
      <c r="H611" s="433"/>
      <c r="I611" s="353"/>
      <c r="J611" s="433"/>
    </row>
    <row r="612">
      <c r="A612" s="433"/>
      <c r="B612" s="456"/>
      <c r="C612" s="433"/>
      <c r="D612" s="433"/>
      <c r="E612" s="460"/>
      <c r="F612" s="351"/>
      <c r="G612" s="456"/>
      <c r="H612" s="433"/>
      <c r="I612" s="353"/>
      <c r="J612" s="433"/>
    </row>
    <row r="613">
      <c r="A613" s="433"/>
      <c r="B613" s="456"/>
      <c r="C613" s="433"/>
      <c r="D613" s="433"/>
      <c r="E613" s="460"/>
      <c r="F613" s="351"/>
      <c r="G613" s="456"/>
      <c r="H613" s="433"/>
      <c r="I613" s="353"/>
      <c r="J613" s="433"/>
    </row>
    <row r="614">
      <c r="A614" s="433"/>
      <c r="B614" s="456"/>
      <c r="C614" s="433"/>
      <c r="D614" s="433"/>
      <c r="E614" s="460"/>
      <c r="F614" s="351"/>
      <c r="G614" s="456"/>
      <c r="H614" s="433"/>
      <c r="I614" s="353"/>
      <c r="J614" s="433"/>
    </row>
    <row r="615">
      <c r="A615" s="433"/>
      <c r="B615" s="456"/>
      <c r="C615" s="433"/>
      <c r="D615" s="433"/>
      <c r="E615" s="460"/>
      <c r="F615" s="351"/>
      <c r="G615" s="456"/>
      <c r="H615" s="433"/>
      <c r="I615" s="353"/>
      <c r="J615" s="433"/>
    </row>
    <row r="616">
      <c r="A616" s="433"/>
      <c r="B616" s="456"/>
      <c r="C616" s="433"/>
      <c r="D616" s="433"/>
      <c r="E616" s="460"/>
      <c r="F616" s="351"/>
      <c r="G616" s="456"/>
      <c r="H616" s="433"/>
      <c r="I616" s="353"/>
      <c r="J616" s="433"/>
    </row>
    <row r="617">
      <c r="A617" s="433"/>
      <c r="B617" s="456"/>
      <c r="C617" s="433"/>
      <c r="D617" s="433"/>
      <c r="E617" s="460"/>
      <c r="F617" s="351"/>
      <c r="G617" s="456"/>
      <c r="H617" s="433"/>
      <c r="I617" s="353"/>
      <c r="J617" s="433"/>
    </row>
    <row r="618">
      <c r="A618" s="433"/>
      <c r="B618" s="456"/>
      <c r="C618" s="433"/>
      <c r="D618" s="433"/>
      <c r="E618" s="460"/>
      <c r="F618" s="351"/>
      <c r="G618" s="456"/>
      <c r="H618" s="433"/>
      <c r="I618" s="353"/>
      <c r="J618" s="433"/>
    </row>
    <row r="619">
      <c r="A619" s="433"/>
      <c r="B619" s="456"/>
      <c r="C619" s="433"/>
      <c r="D619" s="433"/>
      <c r="E619" s="460"/>
      <c r="F619" s="351"/>
      <c r="G619" s="456"/>
      <c r="H619" s="433"/>
      <c r="I619" s="353"/>
      <c r="J619" s="433"/>
    </row>
    <row r="620">
      <c r="A620" s="433"/>
      <c r="B620" s="456"/>
      <c r="C620" s="433"/>
      <c r="D620" s="433"/>
      <c r="E620" s="460"/>
      <c r="F620" s="351"/>
      <c r="G620" s="456"/>
      <c r="H620" s="433"/>
      <c r="I620" s="353"/>
      <c r="J620" s="433"/>
    </row>
    <row r="621">
      <c r="A621" s="433"/>
      <c r="B621" s="456"/>
      <c r="C621" s="433"/>
      <c r="D621" s="433"/>
      <c r="E621" s="460"/>
      <c r="F621" s="351"/>
      <c r="G621" s="456"/>
      <c r="H621" s="433"/>
      <c r="I621" s="353"/>
      <c r="J621" s="433"/>
    </row>
    <row r="622">
      <c r="A622" s="433"/>
      <c r="B622" s="456"/>
      <c r="C622" s="433"/>
      <c r="D622" s="433"/>
      <c r="E622" s="460"/>
      <c r="F622" s="351"/>
      <c r="G622" s="456"/>
      <c r="H622" s="433"/>
      <c r="I622" s="353"/>
      <c r="J622" s="433"/>
    </row>
    <row r="623">
      <c r="A623" s="433"/>
      <c r="B623" s="456"/>
      <c r="C623" s="433"/>
      <c r="D623" s="433"/>
      <c r="E623" s="460"/>
      <c r="F623" s="351"/>
      <c r="G623" s="456"/>
      <c r="H623" s="433"/>
      <c r="I623" s="353"/>
      <c r="J623" s="433"/>
    </row>
    <row r="624">
      <c r="A624" s="433"/>
      <c r="B624" s="456"/>
      <c r="C624" s="433"/>
      <c r="D624" s="433"/>
      <c r="E624" s="460"/>
      <c r="F624" s="351"/>
      <c r="G624" s="456"/>
      <c r="H624" s="433"/>
      <c r="I624" s="353"/>
      <c r="J624" s="433"/>
    </row>
    <row r="625">
      <c r="A625" s="433"/>
      <c r="B625" s="456"/>
      <c r="C625" s="433"/>
      <c r="D625" s="433"/>
      <c r="E625" s="460"/>
      <c r="F625" s="351"/>
      <c r="G625" s="456"/>
      <c r="H625" s="433"/>
      <c r="I625" s="353"/>
      <c r="J625" s="433"/>
    </row>
    <row r="626">
      <c r="A626" s="433"/>
      <c r="B626" s="456"/>
      <c r="C626" s="433"/>
      <c r="D626" s="433"/>
      <c r="E626" s="460"/>
      <c r="F626" s="351"/>
      <c r="G626" s="456"/>
      <c r="H626" s="433"/>
      <c r="I626" s="353"/>
      <c r="J626" s="433"/>
    </row>
    <row r="627">
      <c r="A627" s="433"/>
      <c r="B627" s="456"/>
      <c r="C627" s="433"/>
      <c r="D627" s="433"/>
      <c r="E627" s="460"/>
      <c r="F627" s="351"/>
      <c r="G627" s="456"/>
      <c r="H627" s="433"/>
      <c r="I627" s="353"/>
      <c r="J627" s="433"/>
    </row>
    <row r="628">
      <c r="A628" s="433"/>
      <c r="B628" s="456"/>
      <c r="C628" s="433"/>
      <c r="D628" s="433"/>
      <c r="E628" s="460"/>
      <c r="F628" s="351"/>
      <c r="G628" s="456"/>
      <c r="H628" s="433"/>
      <c r="I628" s="353"/>
      <c r="J628" s="433"/>
    </row>
    <row r="629">
      <c r="A629" s="433"/>
      <c r="B629" s="456"/>
      <c r="C629" s="433"/>
      <c r="D629" s="433"/>
      <c r="E629" s="460"/>
      <c r="F629" s="351"/>
      <c r="G629" s="456"/>
      <c r="H629" s="433"/>
      <c r="I629" s="353"/>
      <c r="J629" s="433"/>
    </row>
    <row r="630">
      <c r="A630" s="433"/>
      <c r="B630" s="456"/>
      <c r="C630" s="433"/>
      <c r="D630" s="433"/>
      <c r="E630" s="460"/>
      <c r="F630" s="351"/>
      <c r="G630" s="456"/>
      <c r="H630" s="433"/>
      <c r="I630" s="353"/>
      <c r="J630" s="433"/>
    </row>
    <row r="631">
      <c r="A631" s="433"/>
      <c r="B631" s="456"/>
      <c r="C631" s="433"/>
      <c r="D631" s="433"/>
      <c r="E631" s="460"/>
      <c r="F631" s="351"/>
      <c r="G631" s="456"/>
      <c r="H631" s="433"/>
      <c r="I631" s="353"/>
      <c r="J631" s="433"/>
    </row>
    <row r="632">
      <c r="A632" s="433"/>
      <c r="B632" s="456"/>
      <c r="C632" s="433"/>
      <c r="D632" s="433"/>
      <c r="E632" s="460"/>
      <c r="F632" s="351"/>
      <c r="G632" s="456"/>
      <c r="H632" s="433"/>
      <c r="I632" s="353"/>
      <c r="J632" s="433"/>
    </row>
    <row r="633">
      <c r="A633" s="433"/>
      <c r="B633" s="456"/>
      <c r="C633" s="433"/>
      <c r="D633" s="433"/>
      <c r="E633" s="460"/>
      <c r="F633" s="351"/>
      <c r="G633" s="456"/>
      <c r="H633" s="433"/>
      <c r="I633" s="353"/>
      <c r="J633" s="433"/>
    </row>
    <row r="634">
      <c r="A634" s="433"/>
      <c r="B634" s="456"/>
      <c r="C634" s="433"/>
      <c r="D634" s="433"/>
      <c r="E634" s="460"/>
      <c r="F634" s="351"/>
      <c r="G634" s="456"/>
      <c r="H634" s="433"/>
      <c r="I634" s="353"/>
      <c r="J634" s="433"/>
    </row>
    <row r="635">
      <c r="A635" s="433"/>
      <c r="B635" s="456"/>
      <c r="C635" s="433"/>
      <c r="D635" s="433"/>
      <c r="E635" s="460"/>
      <c r="F635" s="351"/>
      <c r="G635" s="456"/>
      <c r="H635" s="433"/>
      <c r="I635" s="353"/>
      <c r="J635" s="433"/>
    </row>
    <row r="636">
      <c r="A636" s="433"/>
      <c r="B636" s="456"/>
      <c r="C636" s="433"/>
      <c r="D636" s="433"/>
      <c r="E636" s="460"/>
      <c r="F636" s="351"/>
      <c r="G636" s="456"/>
      <c r="H636" s="433"/>
      <c r="I636" s="353"/>
      <c r="J636" s="433"/>
    </row>
    <row r="637">
      <c r="A637" s="433"/>
      <c r="B637" s="456"/>
      <c r="C637" s="433"/>
      <c r="D637" s="433"/>
      <c r="E637" s="460"/>
      <c r="F637" s="351"/>
      <c r="G637" s="456"/>
      <c r="H637" s="433"/>
      <c r="I637" s="353"/>
      <c r="J637" s="433"/>
    </row>
    <row r="638">
      <c r="A638" s="433"/>
      <c r="B638" s="456"/>
      <c r="C638" s="433"/>
      <c r="D638" s="433"/>
      <c r="E638" s="460"/>
      <c r="F638" s="351"/>
      <c r="G638" s="456"/>
      <c r="H638" s="433"/>
      <c r="I638" s="353"/>
      <c r="J638" s="433"/>
    </row>
    <row r="639">
      <c r="A639" s="433"/>
      <c r="B639" s="456"/>
      <c r="C639" s="433"/>
      <c r="D639" s="433"/>
      <c r="E639" s="460"/>
      <c r="F639" s="351"/>
      <c r="G639" s="456"/>
      <c r="H639" s="433"/>
      <c r="I639" s="353"/>
      <c r="J639" s="433"/>
    </row>
    <row r="640">
      <c r="A640" s="433"/>
      <c r="B640" s="456"/>
      <c r="C640" s="433"/>
      <c r="D640" s="433"/>
      <c r="E640" s="460"/>
      <c r="F640" s="351"/>
      <c r="G640" s="456"/>
      <c r="H640" s="433"/>
      <c r="I640" s="353"/>
      <c r="J640" s="433"/>
    </row>
    <row r="641">
      <c r="A641" s="433"/>
      <c r="B641" s="456"/>
      <c r="C641" s="433"/>
      <c r="D641" s="433"/>
      <c r="E641" s="460"/>
      <c r="F641" s="351"/>
      <c r="G641" s="456"/>
      <c r="H641" s="433"/>
      <c r="I641" s="353"/>
      <c r="J641" s="433"/>
    </row>
    <row r="642">
      <c r="A642" s="433"/>
      <c r="B642" s="456"/>
      <c r="C642" s="433"/>
      <c r="D642" s="433"/>
      <c r="E642" s="460"/>
      <c r="F642" s="351"/>
      <c r="G642" s="456"/>
      <c r="H642" s="433"/>
      <c r="I642" s="353"/>
      <c r="J642" s="433"/>
    </row>
    <row r="643">
      <c r="A643" s="433"/>
      <c r="B643" s="456"/>
      <c r="C643" s="433"/>
      <c r="D643" s="433"/>
      <c r="E643" s="460"/>
      <c r="F643" s="351"/>
      <c r="G643" s="456"/>
      <c r="H643" s="433"/>
      <c r="I643" s="353"/>
      <c r="J643" s="433"/>
    </row>
    <row r="644">
      <c r="A644" s="433"/>
      <c r="B644" s="456"/>
      <c r="C644" s="433"/>
      <c r="D644" s="433"/>
      <c r="E644" s="460"/>
      <c r="F644" s="351"/>
      <c r="G644" s="456"/>
      <c r="H644" s="433"/>
      <c r="I644" s="353"/>
      <c r="J644" s="433"/>
    </row>
    <row r="645">
      <c r="A645" s="433"/>
      <c r="B645" s="456"/>
      <c r="C645" s="433"/>
      <c r="D645" s="433"/>
      <c r="E645" s="460"/>
      <c r="F645" s="351"/>
      <c r="G645" s="456"/>
      <c r="H645" s="433"/>
      <c r="I645" s="353"/>
      <c r="J645" s="433"/>
    </row>
    <row r="646">
      <c r="A646" s="433"/>
      <c r="B646" s="456"/>
      <c r="C646" s="433"/>
      <c r="D646" s="433"/>
      <c r="E646" s="460"/>
      <c r="F646" s="351"/>
      <c r="G646" s="456"/>
      <c r="H646" s="433"/>
      <c r="I646" s="353"/>
      <c r="J646" s="433"/>
    </row>
    <row r="647">
      <c r="A647" s="433"/>
      <c r="B647" s="456"/>
      <c r="C647" s="433"/>
      <c r="D647" s="433"/>
      <c r="E647" s="460"/>
      <c r="F647" s="351"/>
      <c r="G647" s="456"/>
      <c r="H647" s="433"/>
      <c r="I647" s="353"/>
      <c r="J647" s="433"/>
    </row>
    <row r="648">
      <c r="A648" s="433"/>
      <c r="B648" s="456"/>
      <c r="C648" s="433"/>
      <c r="D648" s="433"/>
      <c r="E648" s="460"/>
      <c r="F648" s="351"/>
      <c r="G648" s="456"/>
      <c r="H648" s="433"/>
      <c r="I648" s="353"/>
      <c r="J648" s="433"/>
    </row>
    <row r="649">
      <c r="A649" s="433"/>
      <c r="B649" s="456"/>
      <c r="C649" s="433"/>
      <c r="D649" s="433"/>
      <c r="E649" s="460"/>
      <c r="F649" s="351"/>
      <c r="G649" s="456"/>
      <c r="H649" s="433"/>
      <c r="I649" s="353"/>
      <c r="J649" s="433"/>
    </row>
    <row r="650">
      <c r="A650" s="433"/>
      <c r="B650" s="456"/>
      <c r="C650" s="433"/>
      <c r="D650" s="433"/>
      <c r="E650" s="460"/>
      <c r="F650" s="351"/>
      <c r="G650" s="456"/>
      <c r="H650" s="433"/>
      <c r="I650" s="353"/>
      <c r="J650" s="433"/>
    </row>
    <row r="651">
      <c r="A651" s="433"/>
      <c r="B651" s="456"/>
      <c r="C651" s="433"/>
      <c r="D651" s="433"/>
      <c r="E651" s="460"/>
      <c r="F651" s="351"/>
      <c r="G651" s="456"/>
      <c r="H651" s="433"/>
      <c r="I651" s="353"/>
      <c r="J651" s="433"/>
    </row>
    <row r="652">
      <c r="A652" s="433"/>
      <c r="B652" s="456"/>
      <c r="C652" s="433"/>
      <c r="D652" s="433"/>
      <c r="E652" s="460"/>
      <c r="F652" s="351"/>
      <c r="G652" s="456"/>
      <c r="H652" s="433"/>
      <c r="I652" s="353"/>
      <c r="J652" s="433"/>
    </row>
    <row r="653">
      <c r="A653" s="433"/>
      <c r="B653" s="456"/>
      <c r="C653" s="433"/>
      <c r="D653" s="433"/>
      <c r="E653" s="460"/>
      <c r="F653" s="351"/>
      <c r="G653" s="456"/>
      <c r="H653" s="433"/>
      <c r="I653" s="353"/>
      <c r="J653" s="433"/>
    </row>
    <row r="654">
      <c r="A654" s="433"/>
      <c r="B654" s="456"/>
      <c r="C654" s="433"/>
      <c r="D654" s="433"/>
      <c r="E654" s="460"/>
      <c r="F654" s="351"/>
      <c r="G654" s="456"/>
      <c r="H654" s="433"/>
      <c r="I654" s="353"/>
      <c r="J654" s="433"/>
    </row>
    <row r="655">
      <c r="A655" s="433"/>
      <c r="B655" s="456"/>
      <c r="C655" s="433"/>
      <c r="D655" s="433"/>
      <c r="E655" s="460"/>
      <c r="F655" s="351"/>
      <c r="G655" s="456"/>
      <c r="H655" s="433"/>
      <c r="I655" s="353"/>
      <c r="J655" s="433"/>
    </row>
    <row r="656">
      <c r="A656" s="433"/>
      <c r="B656" s="456"/>
      <c r="C656" s="433"/>
      <c r="D656" s="433"/>
      <c r="E656" s="460"/>
      <c r="F656" s="351"/>
      <c r="G656" s="456"/>
      <c r="H656" s="433"/>
      <c r="I656" s="353"/>
      <c r="J656" s="433"/>
    </row>
    <row r="657">
      <c r="A657" s="433"/>
      <c r="B657" s="456"/>
      <c r="C657" s="433"/>
      <c r="D657" s="433"/>
      <c r="E657" s="460"/>
      <c r="F657" s="351"/>
      <c r="G657" s="456"/>
      <c r="H657" s="433"/>
      <c r="I657" s="353"/>
      <c r="J657" s="433"/>
    </row>
    <row r="658">
      <c r="A658" s="433"/>
      <c r="B658" s="456"/>
      <c r="C658" s="433"/>
      <c r="D658" s="433"/>
      <c r="E658" s="460"/>
      <c r="F658" s="351"/>
      <c r="G658" s="456"/>
      <c r="H658" s="433"/>
      <c r="I658" s="353"/>
      <c r="J658" s="433"/>
    </row>
    <row r="659">
      <c r="A659" s="433"/>
      <c r="B659" s="456"/>
      <c r="C659" s="433"/>
      <c r="D659" s="433"/>
      <c r="E659" s="460"/>
      <c r="F659" s="351"/>
      <c r="G659" s="456"/>
      <c r="H659" s="433"/>
      <c r="I659" s="353"/>
      <c r="J659" s="433"/>
    </row>
    <row r="660">
      <c r="A660" s="433"/>
      <c r="B660" s="456"/>
      <c r="C660" s="433"/>
      <c r="D660" s="433"/>
      <c r="E660" s="460"/>
      <c r="F660" s="351"/>
      <c r="G660" s="456"/>
      <c r="H660" s="433"/>
      <c r="I660" s="353"/>
      <c r="J660" s="433"/>
    </row>
    <row r="661">
      <c r="A661" s="433"/>
      <c r="B661" s="456"/>
      <c r="C661" s="433"/>
      <c r="D661" s="433"/>
      <c r="E661" s="460"/>
      <c r="F661" s="351"/>
      <c r="G661" s="456"/>
      <c r="H661" s="433"/>
      <c r="I661" s="353"/>
      <c r="J661" s="433"/>
    </row>
    <row r="662">
      <c r="A662" s="433"/>
      <c r="B662" s="456"/>
      <c r="C662" s="433"/>
      <c r="D662" s="433"/>
      <c r="E662" s="460"/>
      <c r="F662" s="351"/>
      <c r="G662" s="456"/>
      <c r="H662" s="433"/>
      <c r="I662" s="353"/>
      <c r="J662" s="433"/>
    </row>
    <row r="663">
      <c r="A663" s="433"/>
      <c r="B663" s="456"/>
      <c r="C663" s="433"/>
      <c r="D663" s="433"/>
      <c r="E663" s="460"/>
      <c r="F663" s="351"/>
      <c r="G663" s="456"/>
      <c r="H663" s="433"/>
      <c r="I663" s="353"/>
      <c r="J663" s="433"/>
    </row>
    <row r="664">
      <c r="A664" s="433"/>
      <c r="B664" s="456"/>
      <c r="C664" s="433"/>
      <c r="D664" s="433"/>
      <c r="E664" s="460"/>
      <c r="F664" s="351"/>
      <c r="G664" s="456"/>
      <c r="H664" s="433"/>
      <c r="I664" s="353"/>
      <c r="J664" s="433"/>
    </row>
    <row r="665">
      <c r="A665" s="433"/>
      <c r="B665" s="456"/>
      <c r="C665" s="433"/>
      <c r="D665" s="433"/>
      <c r="E665" s="460"/>
      <c r="F665" s="351"/>
      <c r="G665" s="456"/>
      <c r="H665" s="433"/>
      <c r="I665" s="353"/>
      <c r="J665" s="433"/>
    </row>
    <row r="666">
      <c r="A666" s="433"/>
      <c r="B666" s="456"/>
      <c r="C666" s="433"/>
      <c r="D666" s="433"/>
      <c r="E666" s="460"/>
      <c r="F666" s="351"/>
      <c r="G666" s="456"/>
      <c r="H666" s="433"/>
      <c r="I666" s="353"/>
      <c r="J666" s="433"/>
    </row>
    <row r="667">
      <c r="A667" s="433"/>
      <c r="B667" s="456"/>
      <c r="C667" s="433"/>
      <c r="D667" s="433"/>
      <c r="E667" s="460"/>
      <c r="F667" s="351"/>
      <c r="G667" s="456"/>
      <c r="H667" s="433"/>
      <c r="I667" s="353"/>
      <c r="J667" s="433"/>
    </row>
    <row r="668">
      <c r="A668" s="433"/>
      <c r="B668" s="456"/>
      <c r="C668" s="433"/>
      <c r="D668" s="433"/>
      <c r="E668" s="460"/>
      <c r="F668" s="351"/>
      <c r="G668" s="456"/>
      <c r="H668" s="433"/>
      <c r="I668" s="353"/>
      <c r="J668" s="433"/>
    </row>
    <row r="669">
      <c r="A669" s="433"/>
      <c r="B669" s="456"/>
      <c r="C669" s="433"/>
      <c r="D669" s="433"/>
      <c r="E669" s="460"/>
      <c r="F669" s="351"/>
      <c r="G669" s="456"/>
      <c r="H669" s="433"/>
      <c r="I669" s="353"/>
      <c r="J669" s="433"/>
    </row>
    <row r="670">
      <c r="A670" s="433"/>
      <c r="B670" s="456"/>
      <c r="C670" s="433"/>
      <c r="D670" s="433"/>
      <c r="E670" s="460"/>
      <c r="F670" s="351"/>
      <c r="G670" s="456"/>
      <c r="H670" s="433"/>
      <c r="I670" s="353"/>
      <c r="J670" s="433"/>
    </row>
    <row r="671">
      <c r="A671" s="433"/>
      <c r="B671" s="456"/>
      <c r="C671" s="433"/>
      <c r="D671" s="433"/>
      <c r="E671" s="460"/>
      <c r="F671" s="351"/>
      <c r="G671" s="456"/>
      <c r="H671" s="433"/>
      <c r="I671" s="353"/>
      <c r="J671" s="433"/>
    </row>
    <row r="672">
      <c r="A672" s="433"/>
      <c r="B672" s="456"/>
      <c r="C672" s="433"/>
      <c r="D672" s="433"/>
      <c r="E672" s="460"/>
      <c r="F672" s="351"/>
      <c r="G672" s="456"/>
      <c r="H672" s="433"/>
      <c r="I672" s="353"/>
      <c r="J672" s="433"/>
    </row>
    <row r="673">
      <c r="A673" s="433"/>
      <c r="B673" s="456"/>
      <c r="C673" s="433"/>
      <c r="D673" s="433"/>
      <c r="E673" s="460"/>
      <c r="F673" s="351"/>
      <c r="G673" s="456"/>
      <c r="H673" s="433"/>
      <c r="I673" s="353"/>
      <c r="J673" s="433"/>
    </row>
    <row r="674">
      <c r="A674" s="433"/>
      <c r="B674" s="456"/>
      <c r="C674" s="433"/>
      <c r="D674" s="433"/>
      <c r="E674" s="460"/>
      <c r="F674" s="351"/>
      <c r="G674" s="456"/>
      <c r="H674" s="433"/>
      <c r="I674" s="353"/>
      <c r="J674" s="433"/>
    </row>
    <row r="675">
      <c r="A675" s="433"/>
      <c r="B675" s="456"/>
      <c r="C675" s="433"/>
      <c r="D675" s="433"/>
      <c r="E675" s="460"/>
      <c r="F675" s="351"/>
      <c r="G675" s="456"/>
      <c r="H675" s="433"/>
      <c r="I675" s="353"/>
      <c r="J675" s="433"/>
    </row>
    <row r="676">
      <c r="A676" s="433"/>
      <c r="B676" s="456"/>
      <c r="C676" s="433"/>
      <c r="D676" s="433"/>
      <c r="E676" s="460"/>
      <c r="F676" s="351"/>
      <c r="G676" s="456"/>
      <c r="H676" s="433"/>
      <c r="I676" s="353"/>
      <c r="J676" s="433"/>
    </row>
    <row r="677">
      <c r="A677" s="433"/>
      <c r="B677" s="456"/>
      <c r="C677" s="433"/>
      <c r="D677" s="433"/>
      <c r="E677" s="460"/>
      <c r="F677" s="351"/>
      <c r="G677" s="456"/>
      <c r="H677" s="433"/>
      <c r="I677" s="353"/>
      <c r="J677" s="433"/>
    </row>
    <row r="678">
      <c r="A678" s="433"/>
      <c r="B678" s="456"/>
      <c r="C678" s="433"/>
      <c r="D678" s="433"/>
      <c r="E678" s="460"/>
      <c r="F678" s="351"/>
      <c r="G678" s="456"/>
      <c r="H678" s="433"/>
      <c r="I678" s="353"/>
      <c r="J678" s="433"/>
    </row>
    <row r="679">
      <c r="A679" s="433"/>
      <c r="B679" s="456"/>
      <c r="C679" s="433"/>
      <c r="D679" s="433"/>
      <c r="E679" s="460"/>
      <c r="F679" s="351"/>
      <c r="G679" s="456"/>
      <c r="H679" s="433"/>
      <c r="I679" s="353"/>
      <c r="J679" s="433"/>
    </row>
    <row r="680">
      <c r="A680" s="433"/>
      <c r="B680" s="456"/>
      <c r="C680" s="433"/>
      <c r="D680" s="433"/>
      <c r="E680" s="460"/>
      <c r="F680" s="351"/>
      <c r="G680" s="456"/>
      <c r="H680" s="433"/>
      <c r="I680" s="353"/>
      <c r="J680" s="433"/>
    </row>
    <row r="681">
      <c r="A681" s="433"/>
      <c r="B681" s="456"/>
      <c r="C681" s="433"/>
      <c r="D681" s="433"/>
      <c r="E681" s="460"/>
      <c r="F681" s="351"/>
      <c r="G681" s="456"/>
      <c r="H681" s="433"/>
      <c r="I681" s="353"/>
      <c r="J681" s="433"/>
    </row>
    <row r="682">
      <c r="A682" s="433"/>
      <c r="B682" s="456"/>
      <c r="C682" s="433"/>
      <c r="D682" s="433"/>
      <c r="E682" s="460"/>
      <c r="F682" s="351"/>
      <c r="G682" s="456"/>
      <c r="H682" s="433"/>
      <c r="I682" s="353"/>
      <c r="J682" s="433"/>
    </row>
    <row r="683">
      <c r="A683" s="433"/>
      <c r="B683" s="456"/>
      <c r="C683" s="433"/>
      <c r="D683" s="433"/>
      <c r="E683" s="460"/>
      <c r="F683" s="351"/>
      <c r="G683" s="456"/>
      <c r="H683" s="433"/>
      <c r="I683" s="353"/>
      <c r="J683" s="433"/>
    </row>
    <row r="684">
      <c r="A684" s="433"/>
      <c r="B684" s="456"/>
      <c r="C684" s="433"/>
      <c r="D684" s="433"/>
      <c r="E684" s="460"/>
      <c r="F684" s="351"/>
      <c r="G684" s="456"/>
      <c r="H684" s="433"/>
      <c r="I684" s="353"/>
      <c r="J684" s="433"/>
    </row>
    <row r="685">
      <c r="A685" s="433"/>
      <c r="B685" s="456"/>
      <c r="C685" s="433"/>
      <c r="D685" s="433"/>
      <c r="E685" s="460"/>
      <c r="F685" s="351"/>
      <c r="G685" s="456"/>
      <c r="H685" s="433"/>
      <c r="I685" s="353"/>
      <c r="J685" s="433"/>
    </row>
    <row r="686">
      <c r="A686" s="433"/>
      <c r="B686" s="456"/>
      <c r="C686" s="433"/>
      <c r="D686" s="433"/>
      <c r="E686" s="460"/>
      <c r="F686" s="351"/>
      <c r="G686" s="456"/>
      <c r="H686" s="433"/>
      <c r="I686" s="353"/>
      <c r="J686" s="433"/>
    </row>
    <row r="687">
      <c r="A687" s="433"/>
      <c r="B687" s="456"/>
      <c r="C687" s="433"/>
      <c r="D687" s="433"/>
      <c r="E687" s="460"/>
      <c r="F687" s="351"/>
      <c r="G687" s="456"/>
      <c r="H687" s="433"/>
      <c r="I687" s="353"/>
      <c r="J687" s="433"/>
    </row>
    <row r="688">
      <c r="A688" s="433"/>
      <c r="B688" s="456"/>
      <c r="C688" s="433"/>
      <c r="D688" s="433"/>
      <c r="E688" s="460"/>
      <c r="F688" s="351"/>
      <c r="G688" s="456"/>
      <c r="H688" s="433"/>
      <c r="I688" s="353"/>
      <c r="J688" s="433"/>
    </row>
    <row r="689">
      <c r="A689" s="433"/>
      <c r="B689" s="456"/>
      <c r="C689" s="433"/>
      <c r="D689" s="433"/>
      <c r="E689" s="460"/>
      <c r="F689" s="351"/>
      <c r="G689" s="456"/>
      <c r="H689" s="433"/>
      <c r="I689" s="353"/>
      <c r="J689" s="433"/>
    </row>
    <row r="690">
      <c r="A690" s="433"/>
      <c r="B690" s="456"/>
      <c r="C690" s="433"/>
      <c r="D690" s="433"/>
      <c r="E690" s="460"/>
      <c r="F690" s="351"/>
      <c r="G690" s="456"/>
      <c r="H690" s="433"/>
      <c r="I690" s="353"/>
      <c r="J690" s="433"/>
    </row>
    <row r="691">
      <c r="A691" s="433"/>
      <c r="B691" s="456"/>
      <c r="C691" s="433"/>
      <c r="D691" s="433"/>
      <c r="E691" s="460"/>
      <c r="F691" s="351"/>
      <c r="G691" s="456"/>
      <c r="H691" s="433"/>
      <c r="I691" s="353"/>
      <c r="J691" s="433"/>
    </row>
    <row r="692">
      <c r="A692" s="433"/>
      <c r="B692" s="456"/>
      <c r="C692" s="433"/>
      <c r="D692" s="433"/>
      <c r="E692" s="460"/>
      <c r="F692" s="351"/>
      <c r="G692" s="456"/>
      <c r="H692" s="433"/>
      <c r="I692" s="353"/>
      <c r="J692" s="433"/>
    </row>
    <row r="693">
      <c r="A693" s="433"/>
      <c r="B693" s="456"/>
      <c r="C693" s="433"/>
      <c r="D693" s="433"/>
      <c r="E693" s="460"/>
      <c r="F693" s="351"/>
      <c r="G693" s="456"/>
      <c r="H693" s="433"/>
      <c r="I693" s="353"/>
      <c r="J693" s="433"/>
    </row>
    <row r="694">
      <c r="A694" s="433"/>
      <c r="B694" s="456"/>
      <c r="C694" s="433"/>
      <c r="D694" s="433"/>
      <c r="E694" s="460"/>
      <c r="F694" s="351"/>
      <c r="G694" s="456"/>
      <c r="H694" s="433"/>
      <c r="I694" s="353"/>
      <c r="J694" s="433"/>
    </row>
    <row r="695">
      <c r="A695" s="433"/>
      <c r="B695" s="456"/>
      <c r="C695" s="433"/>
      <c r="D695" s="433"/>
      <c r="E695" s="460"/>
      <c r="F695" s="351"/>
      <c r="G695" s="456"/>
      <c r="H695" s="433"/>
      <c r="I695" s="353"/>
      <c r="J695" s="433"/>
    </row>
    <row r="696">
      <c r="A696" s="433"/>
      <c r="B696" s="456"/>
      <c r="C696" s="433"/>
      <c r="D696" s="433"/>
      <c r="E696" s="460"/>
      <c r="F696" s="351"/>
      <c r="G696" s="456"/>
      <c r="H696" s="433"/>
      <c r="I696" s="353"/>
      <c r="J696" s="433"/>
    </row>
    <row r="697">
      <c r="A697" s="433"/>
      <c r="B697" s="456"/>
      <c r="C697" s="433"/>
      <c r="D697" s="433"/>
      <c r="E697" s="460"/>
      <c r="F697" s="351"/>
      <c r="G697" s="456"/>
      <c r="H697" s="433"/>
      <c r="I697" s="353"/>
      <c r="J697" s="433"/>
    </row>
    <row r="698">
      <c r="A698" s="433"/>
      <c r="B698" s="456"/>
      <c r="C698" s="433"/>
      <c r="D698" s="433"/>
      <c r="E698" s="460"/>
      <c r="F698" s="351"/>
      <c r="G698" s="456"/>
      <c r="H698" s="433"/>
      <c r="I698" s="353"/>
      <c r="J698" s="433"/>
    </row>
    <row r="699">
      <c r="A699" s="433"/>
      <c r="B699" s="456"/>
      <c r="C699" s="433"/>
      <c r="D699" s="433"/>
      <c r="E699" s="460"/>
      <c r="F699" s="351"/>
      <c r="G699" s="456"/>
      <c r="H699" s="433"/>
      <c r="I699" s="353"/>
      <c r="J699" s="433"/>
    </row>
    <row r="700">
      <c r="A700" s="433"/>
      <c r="B700" s="456"/>
      <c r="C700" s="433"/>
      <c r="D700" s="433"/>
      <c r="E700" s="460"/>
      <c r="F700" s="351"/>
      <c r="G700" s="456"/>
      <c r="H700" s="433"/>
      <c r="I700" s="353"/>
      <c r="J700" s="433"/>
    </row>
    <row r="701">
      <c r="A701" s="433"/>
      <c r="B701" s="456"/>
      <c r="C701" s="433"/>
      <c r="D701" s="433"/>
      <c r="E701" s="460"/>
      <c r="F701" s="351"/>
      <c r="G701" s="456"/>
      <c r="H701" s="433"/>
      <c r="I701" s="353"/>
      <c r="J701" s="433"/>
    </row>
    <row r="702">
      <c r="A702" s="433"/>
      <c r="B702" s="456"/>
      <c r="C702" s="433"/>
      <c r="D702" s="433"/>
      <c r="E702" s="460"/>
      <c r="F702" s="351"/>
      <c r="G702" s="456"/>
      <c r="H702" s="433"/>
      <c r="I702" s="353"/>
      <c r="J702" s="433"/>
    </row>
    <row r="703">
      <c r="A703" s="433"/>
      <c r="B703" s="456"/>
      <c r="C703" s="433"/>
      <c r="D703" s="433"/>
      <c r="E703" s="460"/>
      <c r="F703" s="351"/>
      <c r="G703" s="456"/>
      <c r="H703" s="433"/>
      <c r="I703" s="353"/>
      <c r="J703" s="433"/>
    </row>
    <row r="704">
      <c r="A704" s="433"/>
      <c r="B704" s="456"/>
      <c r="C704" s="433"/>
      <c r="D704" s="433"/>
      <c r="E704" s="460"/>
      <c r="F704" s="351"/>
      <c r="G704" s="456"/>
      <c r="H704" s="433"/>
      <c r="I704" s="353"/>
      <c r="J704" s="433"/>
    </row>
    <row r="705">
      <c r="A705" s="433"/>
      <c r="B705" s="456"/>
      <c r="C705" s="433"/>
      <c r="D705" s="433"/>
      <c r="E705" s="460"/>
      <c r="F705" s="351"/>
      <c r="G705" s="456"/>
      <c r="H705" s="433"/>
      <c r="I705" s="353"/>
      <c r="J705" s="433"/>
    </row>
    <row r="706">
      <c r="A706" s="433"/>
      <c r="B706" s="456"/>
      <c r="C706" s="433"/>
      <c r="D706" s="433"/>
      <c r="E706" s="460"/>
      <c r="F706" s="351"/>
      <c r="G706" s="456"/>
      <c r="H706" s="433"/>
      <c r="I706" s="353"/>
      <c r="J706" s="433"/>
    </row>
    <row r="707">
      <c r="A707" s="433"/>
      <c r="B707" s="456"/>
      <c r="C707" s="433"/>
      <c r="D707" s="433"/>
      <c r="E707" s="460"/>
      <c r="F707" s="351"/>
      <c r="G707" s="456"/>
      <c r="H707" s="433"/>
      <c r="I707" s="353"/>
      <c r="J707" s="433"/>
    </row>
    <row r="708">
      <c r="A708" s="433"/>
      <c r="B708" s="456"/>
      <c r="C708" s="433"/>
      <c r="D708" s="433"/>
      <c r="E708" s="460"/>
      <c r="F708" s="351"/>
      <c r="G708" s="456"/>
      <c r="H708" s="433"/>
      <c r="I708" s="353"/>
      <c r="J708" s="433"/>
    </row>
    <row r="709">
      <c r="A709" s="433"/>
      <c r="B709" s="456"/>
      <c r="C709" s="433"/>
      <c r="D709" s="433"/>
      <c r="E709" s="460"/>
      <c r="F709" s="351"/>
      <c r="G709" s="456"/>
      <c r="H709" s="433"/>
      <c r="I709" s="353"/>
      <c r="J709" s="433"/>
    </row>
    <row r="710">
      <c r="A710" s="433"/>
      <c r="B710" s="456"/>
      <c r="C710" s="433"/>
      <c r="D710" s="433"/>
      <c r="E710" s="460"/>
      <c r="F710" s="351"/>
      <c r="G710" s="456"/>
      <c r="H710" s="433"/>
      <c r="I710" s="353"/>
      <c r="J710" s="433"/>
    </row>
    <row r="711">
      <c r="A711" s="433"/>
      <c r="B711" s="456"/>
      <c r="C711" s="433"/>
      <c r="D711" s="433"/>
      <c r="E711" s="460"/>
      <c r="F711" s="351"/>
      <c r="G711" s="456"/>
      <c r="H711" s="433"/>
      <c r="I711" s="353"/>
      <c r="J711" s="433"/>
    </row>
    <row r="712">
      <c r="A712" s="433"/>
      <c r="B712" s="456"/>
      <c r="C712" s="433"/>
      <c r="D712" s="433"/>
      <c r="E712" s="460"/>
      <c r="F712" s="351"/>
      <c r="G712" s="456"/>
      <c r="H712" s="433"/>
      <c r="I712" s="353"/>
      <c r="J712" s="433"/>
    </row>
    <row r="713">
      <c r="A713" s="433"/>
      <c r="B713" s="456"/>
      <c r="C713" s="433"/>
      <c r="D713" s="433"/>
      <c r="E713" s="460"/>
      <c r="F713" s="351"/>
      <c r="G713" s="456"/>
      <c r="H713" s="433"/>
      <c r="I713" s="353"/>
      <c r="J713" s="433"/>
    </row>
    <row r="714">
      <c r="A714" s="433"/>
      <c r="B714" s="456"/>
      <c r="C714" s="433"/>
      <c r="D714" s="433"/>
      <c r="E714" s="460"/>
      <c r="F714" s="351"/>
      <c r="G714" s="456"/>
      <c r="H714" s="433"/>
      <c r="I714" s="353"/>
      <c r="J714" s="433"/>
    </row>
    <row r="715">
      <c r="A715" s="433"/>
      <c r="B715" s="456"/>
      <c r="C715" s="433"/>
      <c r="D715" s="433"/>
      <c r="E715" s="460"/>
      <c r="F715" s="351"/>
      <c r="G715" s="456"/>
      <c r="H715" s="433"/>
      <c r="I715" s="353"/>
      <c r="J715" s="433"/>
    </row>
    <row r="716">
      <c r="A716" s="433"/>
      <c r="B716" s="456"/>
      <c r="C716" s="433"/>
      <c r="D716" s="433"/>
      <c r="E716" s="460"/>
      <c r="F716" s="351"/>
      <c r="G716" s="456"/>
      <c r="H716" s="433"/>
      <c r="I716" s="353"/>
      <c r="J716" s="433"/>
    </row>
    <row r="717">
      <c r="A717" s="433"/>
      <c r="B717" s="456"/>
      <c r="C717" s="433"/>
      <c r="D717" s="433"/>
      <c r="E717" s="460"/>
      <c r="F717" s="351"/>
      <c r="G717" s="456"/>
      <c r="H717" s="433"/>
      <c r="I717" s="353"/>
      <c r="J717" s="433"/>
    </row>
    <row r="718">
      <c r="A718" s="433"/>
      <c r="B718" s="456"/>
      <c r="C718" s="433"/>
      <c r="D718" s="433"/>
      <c r="E718" s="460"/>
      <c r="F718" s="351"/>
      <c r="G718" s="456"/>
      <c r="H718" s="433"/>
      <c r="I718" s="353"/>
      <c r="J718" s="433"/>
    </row>
    <row r="719">
      <c r="A719" s="433"/>
      <c r="B719" s="456"/>
      <c r="C719" s="433"/>
      <c r="D719" s="433"/>
      <c r="E719" s="460"/>
      <c r="F719" s="351"/>
      <c r="G719" s="456"/>
      <c r="H719" s="433"/>
      <c r="I719" s="353"/>
      <c r="J719" s="433"/>
    </row>
    <row r="720">
      <c r="A720" s="433"/>
      <c r="B720" s="456"/>
      <c r="C720" s="433"/>
      <c r="D720" s="433"/>
      <c r="E720" s="460"/>
      <c r="F720" s="351"/>
      <c r="G720" s="456"/>
      <c r="H720" s="433"/>
      <c r="I720" s="353"/>
      <c r="J720" s="433"/>
    </row>
    <row r="721">
      <c r="A721" s="433"/>
      <c r="B721" s="456"/>
      <c r="C721" s="433"/>
      <c r="D721" s="433"/>
      <c r="E721" s="460"/>
      <c r="F721" s="351"/>
      <c r="G721" s="456"/>
      <c r="H721" s="433"/>
      <c r="I721" s="353"/>
      <c r="J721" s="433"/>
    </row>
    <row r="722">
      <c r="A722" s="433"/>
      <c r="B722" s="456"/>
      <c r="C722" s="433"/>
      <c r="D722" s="433"/>
      <c r="E722" s="460"/>
      <c r="F722" s="351"/>
      <c r="G722" s="456"/>
      <c r="H722" s="433"/>
      <c r="I722" s="353"/>
      <c r="J722" s="433"/>
    </row>
    <row r="723">
      <c r="A723" s="433"/>
      <c r="B723" s="456"/>
      <c r="C723" s="433"/>
      <c r="D723" s="433"/>
      <c r="E723" s="460"/>
      <c r="F723" s="351"/>
      <c r="G723" s="456"/>
      <c r="H723" s="433"/>
      <c r="I723" s="353"/>
      <c r="J723" s="433"/>
    </row>
    <row r="724">
      <c r="A724" s="433"/>
      <c r="B724" s="456"/>
      <c r="C724" s="433"/>
      <c r="D724" s="433"/>
      <c r="E724" s="460"/>
      <c r="F724" s="351"/>
      <c r="G724" s="456"/>
      <c r="H724" s="433"/>
      <c r="I724" s="353"/>
      <c r="J724" s="433"/>
    </row>
    <row r="725">
      <c r="A725" s="433"/>
      <c r="B725" s="456"/>
      <c r="C725" s="433"/>
      <c r="D725" s="433"/>
      <c r="E725" s="460"/>
      <c r="F725" s="351"/>
      <c r="G725" s="456"/>
      <c r="H725" s="433"/>
      <c r="I725" s="353"/>
      <c r="J725" s="433"/>
    </row>
    <row r="726">
      <c r="A726" s="433"/>
      <c r="B726" s="456"/>
      <c r="C726" s="433"/>
      <c r="D726" s="433"/>
      <c r="E726" s="460"/>
      <c r="F726" s="351"/>
      <c r="G726" s="456"/>
      <c r="H726" s="433"/>
      <c r="I726" s="353"/>
      <c r="J726" s="433"/>
    </row>
    <row r="727">
      <c r="A727" s="433"/>
      <c r="B727" s="456"/>
      <c r="C727" s="433"/>
      <c r="D727" s="433"/>
      <c r="E727" s="460"/>
      <c r="F727" s="351"/>
      <c r="G727" s="456"/>
      <c r="H727" s="433"/>
      <c r="I727" s="353"/>
      <c r="J727" s="433"/>
    </row>
    <row r="728">
      <c r="A728" s="433"/>
      <c r="B728" s="456"/>
      <c r="C728" s="433"/>
      <c r="D728" s="433"/>
      <c r="E728" s="460"/>
      <c r="F728" s="351"/>
      <c r="G728" s="456"/>
      <c r="H728" s="433"/>
      <c r="I728" s="353"/>
      <c r="J728" s="433"/>
    </row>
    <row r="729">
      <c r="A729" s="433"/>
      <c r="B729" s="456"/>
      <c r="C729" s="433"/>
      <c r="D729" s="433"/>
      <c r="E729" s="460"/>
      <c r="F729" s="351"/>
      <c r="G729" s="456"/>
      <c r="H729" s="433"/>
      <c r="I729" s="353"/>
      <c r="J729" s="433"/>
    </row>
    <row r="730">
      <c r="A730" s="433"/>
      <c r="B730" s="456"/>
      <c r="C730" s="433"/>
      <c r="D730" s="433"/>
      <c r="E730" s="460"/>
      <c r="F730" s="351"/>
      <c r="G730" s="456"/>
      <c r="H730" s="433"/>
      <c r="I730" s="353"/>
      <c r="J730" s="433"/>
    </row>
    <row r="731">
      <c r="A731" s="433"/>
      <c r="B731" s="456"/>
      <c r="C731" s="433"/>
      <c r="D731" s="433"/>
      <c r="E731" s="460"/>
      <c r="F731" s="351"/>
      <c r="G731" s="456"/>
      <c r="H731" s="433"/>
      <c r="I731" s="353"/>
      <c r="J731" s="433"/>
    </row>
    <row r="732">
      <c r="A732" s="433"/>
      <c r="B732" s="456"/>
      <c r="C732" s="433"/>
      <c r="D732" s="433"/>
      <c r="E732" s="460"/>
      <c r="F732" s="351"/>
      <c r="G732" s="456"/>
      <c r="H732" s="433"/>
      <c r="I732" s="353"/>
      <c r="J732" s="433"/>
    </row>
    <row r="733">
      <c r="A733" s="433"/>
      <c r="B733" s="456"/>
      <c r="C733" s="433"/>
      <c r="D733" s="433"/>
      <c r="E733" s="460"/>
      <c r="F733" s="351"/>
      <c r="G733" s="456"/>
      <c r="H733" s="433"/>
      <c r="I733" s="353"/>
      <c r="J733" s="433"/>
    </row>
    <row r="734">
      <c r="A734" s="433"/>
      <c r="B734" s="456"/>
      <c r="C734" s="433"/>
      <c r="D734" s="433"/>
      <c r="E734" s="460"/>
      <c r="F734" s="351"/>
      <c r="G734" s="456"/>
      <c r="H734" s="433"/>
      <c r="I734" s="353"/>
      <c r="J734" s="433"/>
    </row>
    <row r="735">
      <c r="A735" s="433"/>
      <c r="B735" s="456"/>
      <c r="C735" s="433"/>
      <c r="D735" s="433"/>
      <c r="E735" s="460"/>
      <c r="F735" s="351"/>
      <c r="G735" s="456"/>
      <c r="H735" s="433"/>
      <c r="I735" s="353"/>
      <c r="J735" s="433"/>
    </row>
    <row r="736">
      <c r="A736" s="433"/>
      <c r="B736" s="456"/>
      <c r="C736" s="433"/>
      <c r="D736" s="433"/>
      <c r="E736" s="460"/>
      <c r="F736" s="351"/>
      <c r="G736" s="456"/>
      <c r="H736" s="433"/>
      <c r="I736" s="353"/>
      <c r="J736" s="433"/>
    </row>
    <row r="737">
      <c r="A737" s="433"/>
      <c r="B737" s="456"/>
      <c r="C737" s="433"/>
      <c r="D737" s="433"/>
      <c r="E737" s="460"/>
      <c r="F737" s="351"/>
      <c r="G737" s="456"/>
      <c r="H737" s="433"/>
      <c r="I737" s="353"/>
      <c r="J737" s="433"/>
    </row>
    <row r="738">
      <c r="A738" s="433"/>
      <c r="B738" s="456"/>
      <c r="C738" s="433"/>
      <c r="D738" s="433"/>
      <c r="E738" s="460"/>
      <c r="F738" s="351"/>
      <c r="G738" s="456"/>
      <c r="H738" s="433"/>
      <c r="I738" s="353"/>
      <c r="J738" s="433"/>
    </row>
    <row r="739">
      <c r="A739" s="433"/>
      <c r="B739" s="456"/>
      <c r="C739" s="433"/>
      <c r="D739" s="433"/>
      <c r="E739" s="460"/>
      <c r="F739" s="351"/>
      <c r="G739" s="456"/>
      <c r="H739" s="433"/>
      <c r="I739" s="353"/>
      <c r="J739" s="433"/>
    </row>
    <row r="740">
      <c r="A740" s="433"/>
      <c r="B740" s="456"/>
      <c r="C740" s="433"/>
      <c r="D740" s="433"/>
      <c r="E740" s="460"/>
      <c r="F740" s="351"/>
      <c r="G740" s="456"/>
      <c r="H740" s="433"/>
      <c r="I740" s="353"/>
      <c r="J740" s="433"/>
    </row>
    <row r="741">
      <c r="A741" s="433"/>
      <c r="B741" s="456"/>
      <c r="C741" s="433"/>
      <c r="D741" s="433"/>
      <c r="E741" s="460"/>
      <c r="F741" s="351"/>
      <c r="G741" s="456"/>
      <c r="H741" s="433"/>
      <c r="I741" s="353"/>
      <c r="J741" s="433"/>
    </row>
    <row r="742">
      <c r="A742" s="433"/>
      <c r="B742" s="456"/>
      <c r="C742" s="433"/>
      <c r="D742" s="433"/>
      <c r="E742" s="460"/>
      <c r="F742" s="351"/>
      <c r="G742" s="456"/>
      <c r="H742" s="433"/>
      <c r="I742" s="353"/>
      <c r="J742" s="433"/>
    </row>
    <row r="743">
      <c r="A743" s="433"/>
      <c r="B743" s="456"/>
      <c r="C743" s="433"/>
      <c r="D743" s="433"/>
      <c r="E743" s="460"/>
      <c r="F743" s="351"/>
      <c r="G743" s="456"/>
      <c r="H743" s="433"/>
      <c r="I743" s="353"/>
      <c r="J743" s="433"/>
    </row>
    <row r="744">
      <c r="A744" s="433"/>
      <c r="B744" s="456"/>
      <c r="C744" s="433"/>
      <c r="D744" s="433"/>
      <c r="E744" s="460"/>
      <c r="F744" s="351"/>
      <c r="G744" s="456"/>
      <c r="H744" s="433"/>
      <c r="I744" s="353"/>
      <c r="J744" s="433"/>
    </row>
    <row r="745">
      <c r="A745" s="433"/>
      <c r="B745" s="456"/>
      <c r="C745" s="433"/>
      <c r="D745" s="433"/>
      <c r="E745" s="460"/>
      <c r="F745" s="351"/>
      <c r="G745" s="456"/>
      <c r="H745" s="433"/>
      <c r="I745" s="353"/>
      <c r="J745" s="433"/>
    </row>
    <row r="746">
      <c r="A746" s="433"/>
      <c r="B746" s="456"/>
      <c r="C746" s="433"/>
      <c r="D746" s="433"/>
      <c r="E746" s="460"/>
      <c r="F746" s="351"/>
      <c r="G746" s="456"/>
      <c r="H746" s="433"/>
      <c r="I746" s="353"/>
      <c r="J746" s="433"/>
    </row>
    <row r="747">
      <c r="A747" s="433"/>
      <c r="B747" s="456"/>
      <c r="C747" s="433"/>
      <c r="D747" s="433"/>
      <c r="E747" s="460"/>
      <c r="F747" s="351"/>
      <c r="G747" s="456"/>
      <c r="H747" s="433"/>
      <c r="I747" s="353"/>
      <c r="J747" s="433"/>
    </row>
    <row r="748">
      <c r="A748" s="433"/>
      <c r="B748" s="456"/>
      <c r="C748" s="433"/>
      <c r="D748" s="433"/>
      <c r="E748" s="460"/>
      <c r="F748" s="351"/>
      <c r="G748" s="456"/>
      <c r="H748" s="433"/>
      <c r="I748" s="353"/>
      <c r="J748" s="433"/>
    </row>
    <row r="749">
      <c r="A749" s="433"/>
      <c r="B749" s="456"/>
      <c r="C749" s="433"/>
      <c r="D749" s="433"/>
      <c r="E749" s="460"/>
      <c r="F749" s="351"/>
      <c r="G749" s="456"/>
      <c r="H749" s="433"/>
      <c r="I749" s="353"/>
      <c r="J749" s="433"/>
    </row>
    <row r="750">
      <c r="A750" s="433"/>
      <c r="B750" s="456"/>
      <c r="C750" s="433"/>
      <c r="D750" s="433"/>
      <c r="E750" s="460"/>
      <c r="F750" s="351"/>
      <c r="G750" s="456"/>
      <c r="H750" s="433"/>
      <c r="I750" s="353"/>
      <c r="J750" s="433"/>
    </row>
    <row r="751">
      <c r="A751" s="433"/>
      <c r="B751" s="456"/>
      <c r="C751" s="433"/>
      <c r="D751" s="433"/>
      <c r="E751" s="460"/>
      <c r="F751" s="351"/>
      <c r="G751" s="456"/>
      <c r="H751" s="433"/>
      <c r="I751" s="353"/>
      <c r="J751" s="433"/>
    </row>
    <row r="752">
      <c r="A752" s="433"/>
      <c r="B752" s="456"/>
      <c r="C752" s="433"/>
      <c r="D752" s="433"/>
      <c r="E752" s="460"/>
      <c r="F752" s="351"/>
      <c r="G752" s="456"/>
      <c r="H752" s="433"/>
      <c r="I752" s="353"/>
      <c r="J752" s="433"/>
    </row>
    <row r="753">
      <c r="A753" s="433"/>
      <c r="B753" s="456"/>
      <c r="C753" s="433"/>
      <c r="D753" s="433"/>
      <c r="E753" s="460"/>
      <c r="F753" s="351"/>
      <c r="G753" s="456"/>
      <c r="H753" s="433"/>
      <c r="I753" s="353"/>
      <c r="J753" s="433"/>
    </row>
    <row r="754">
      <c r="A754" s="433"/>
      <c r="B754" s="456"/>
      <c r="C754" s="433"/>
      <c r="D754" s="433"/>
      <c r="E754" s="460"/>
      <c r="F754" s="351"/>
      <c r="G754" s="456"/>
      <c r="H754" s="433"/>
      <c r="I754" s="353"/>
      <c r="J754" s="433"/>
    </row>
    <row r="755">
      <c r="A755" s="433"/>
      <c r="B755" s="456"/>
      <c r="C755" s="433"/>
      <c r="D755" s="433"/>
      <c r="E755" s="460"/>
      <c r="F755" s="351"/>
      <c r="G755" s="456"/>
      <c r="H755" s="433"/>
      <c r="I755" s="353"/>
      <c r="J755" s="433"/>
    </row>
    <row r="756">
      <c r="A756" s="433"/>
      <c r="B756" s="456"/>
      <c r="C756" s="433"/>
      <c r="D756" s="433"/>
      <c r="E756" s="460"/>
      <c r="F756" s="351"/>
      <c r="G756" s="456"/>
      <c r="H756" s="433"/>
      <c r="I756" s="353"/>
      <c r="J756" s="433"/>
    </row>
    <row r="757">
      <c r="A757" s="433"/>
      <c r="B757" s="456"/>
      <c r="C757" s="433"/>
      <c r="D757" s="433"/>
      <c r="E757" s="460"/>
      <c r="F757" s="351"/>
      <c r="G757" s="456"/>
      <c r="H757" s="433"/>
      <c r="I757" s="353"/>
      <c r="J757" s="433"/>
    </row>
    <row r="758">
      <c r="A758" s="433"/>
      <c r="B758" s="456"/>
      <c r="C758" s="433"/>
      <c r="D758" s="433"/>
      <c r="E758" s="460"/>
      <c r="F758" s="351"/>
      <c r="G758" s="456"/>
      <c r="H758" s="433"/>
      <c r="I758" s="353"/>
      <c r="J758" s="433"/>
    </row>
    <row r="759">
      <c r="A759" s="433"/>
      <c r="B759" s="456"/>
      <c r="C759" s="433"/>
      <c r="D759" s="433"/>
      <c r="E759" s="460"/>
      <c r="F759" s="351"/>
      <c r="G759" s="456"/>
      <c r="H759" s="433"/>
      <c r="I759" s="353"/>
      <c r="J759" s="433"/>
    </row>
    <row r="760">
      <c r="A760" s="433"/>
      <c r="B760" s="456"/>
      <c r="C760" s="433"/>
      <c r="D760" s="433"/>
      <c r="E760" s="460"/>
      <c r="F760" s="351"/>
      <c r="G760" s="456"/>
      <c r="H760" s="433"/>
      <c r="I760" s="353"/>
      <c r="J760" s="433"/>
    </row>
    <row r="761">
      <c r="A761" s="433"/>
      <c r="B761" s="456"/>
      <c r="C761" s="433"/>
      <c r="D761" s="433"/>
      <c r="E761" s="460"/>
      <c r="F761" s="351"/>
      <c r="G761" s="456"/>
      <c r="H761" s="433"/>
      <c r="I761" s="353"/>
      <c r="J761" s="433"/>
    </row>
    <row r="762">
      <c r="A762" s="433"/>
      <c r="B762" s="456"/>
      <c r="C762" s="433"/>
      <c r="D762" s="433"/>
      <c r="E762" s="460"/>
      <c r="F762" s="351"/>
      <c r="G762" s="456"/>
      <c r="H762" s="433"/>
      <c r="I762" s="353"/>
      <c r="J762" s="433"/>
    </row>
    <row r="763">
      <c r="A763" s="433"/>
      <c r="B763" s="456"/>
      <c r="C763" s="433"/>
      <c r="D763" s="433"/>
      <c r="E763" s="460"/>
      <c r="F763" s="351"/>
      <c r="G763" s="456"/>
      <c r="H763" s="433"/>
      <c r="I763" s="353"/>
      <c r="J763" s="433"/>
    </row>
    <row r="764">
      <c r="A764" s="433"/>
      <c r="B764" s="456"/>
      <c r="C764" s="433"/>
      <c r="D764" s="433"/>
      <c r="E764" s="460"/>
      <c r="F764" s="351"/>
      <c r="G764" s="456"/>
      <c r="H764" s="433"/>
      <c r="I764" s="353"/>
      <c r="J764" s="433"/>
    </row>
    <row r="765">
      <c r="A765" s="433"/>
      <c r="B765" s="456"/>
      <c r="C765" s="433"/>
      <c r="D765" s="433"/>
      <c r="E765" s="460"/>
      <c r="F765" s="351"/>
      <c r="G765" s="456"/>
      <c r="H765" s="433"/>
      <c r="I765" s="353"/>
      <c r="J765" s="433"/>
    </row>
    <row r="766">
      <c r="A766" s="433"/>
      <c r="B766" s="456"/>
      <c r="C766" s="433"/>
      <c r="D766" s="433"/>
      <c r="E766" s="460"/>
      <c r="F766" s="351"/>
      <c r="G766" s="456"/>
      <c r="H766" s="433"/>
      <c r="I766" s="353"/>
      <c r="J766" s="433"/>
    </row>
    <row r="767">
      <c r="A767" s="433"/>
      <c r="B767" s="456"/>
      <c r="C767" s="433"/>
      <c r="D767" s="433"/>
      <c r="E767" s="460"/>
      <c r="F767" s="351"/>
      <c r="G767" s="456"/>
      <c r="H767" s="433"/>
      <c r="I767" s="353"/>
      <c r="J767" s="433"/>
    </row>
    <row r="768">
      <c r="A768" s="433"/>
      <c r="B768" s="456"/>
      <c r="C768" s="433"/>
      <c r="D768" s="433"/>
      <c r="E768" s="460"/>
      <c r="F768" s="351"/>
      <c r="G768" s="456"/>
      <c r="H768" s="433"/>
      <c r="I768" s="353"/>
      <c r="J768" s="433"/>
    </row>
    <row r="769">
      <c r="A769" s="433"/>
      <c r="B769" s="456"/>
      <c r="C769" s="433"/>
      <c r="D769" s="433"/>
      <c r="E769" s="460"/>
      <c r="F769" s="351"/>
      <c r="G769" s="456"/>
      <c r="H769" s="433"/>
      <c r="I769" s="353"/>
      <c r="J769" s="433"/>
    </row>
    <row r="770">
      <c r="A770" s="433"/>
      <c r="B770" s="456"/>
      <c r="C770" s="433"/>
      <c r="D770" s="433"/>
      <c r="E770" s="460"/>
      <c r="F770" s="351"/>
      <c r="G770" s="456"/>
      <c r="H770" s="433"/>
      <c r="I770" s="353"/>
      <c r="J770" s="433"/>
    </row>
    <row r="771">
      <c r="A771" s="433"/>
      <c r="B771" s="456"/>
      <c r="C771" s="433"/>
      <c r="D771" s="433"/>
      <c r="E771" s="460"/>
      <c r="F771" s="351"/>
      <c r="G771" s="456"/>
      <c r="H771" s="433"/>
      <c r="I771" s="353"/>
      <c r="J771" s="433"/>
    </row>
    <row r="772">
      <c r="A772" s="433"/>
      <c r="B772" s="456"/>
      <c r="C772" s="433"/>
      <c r="D772" s="433"/>
      <c r="E772" s="460"/>
      <c r="F772" s="351"/>
      <c r="G772" s="456"/>
      <c r="H772" s="433"/>
      <c r="I772" s="353"/>
      <c r="J772" s="433"/>
    </row>
    <row r="773">
      <c r="A773" s="433"/>
      <c r="B773" s="456"/>
      <c r="C773" s="433"/>
      <c r="D773" s="433"/>
      <c r="E773" s="460"/>
      <c r="F773" s="351"/>
      <c r="G773" s="456"/>
      <c r="H773" s="433"/>
      <c r="I773" s="353"/>
      <c r="J773" s="433"/>
    </row>
    <row r="774">
      <c r="A774" s="433"/>
      <c r="B774" s="456"/>
      <c r="C774" s="433"/>
      <c r="D774" s="433"/>
      <c r="E774" s="460"/>
      <c r="F774" s="351"/>
      <c r="G774" s="456"/>
      <c r="H774" s="433"/>
      <c r="I774" s="353"/>
      <c r="J774" s="433"/>
    </row>
    <row r="775">
      <c r="A775" s="433"/>
      <c r="B775" s="456"/>
      <c r="C775" s="433"/>
      <c r="D775" s="433"/>
      <c r="E775" s="460"/>
      <c r="F775" s="351"/>
      <c r="G775" s="456"/>
      <c r="H775" s="433"/>
      <c r="I775" s="353"/>
      <c r="J775" s="433"/>
    </row>
    <row r="776">
      <c r="A776" s="433"/>
      <c r="B776" s="456"/>
      <c r="C776" s="433"/>
      <c r="D776" s="433"/>
      <c r="E776" s="460"/>
      <c r="F776" s="351"/>
      <c r="G776" s="456"/>
      <c r="H776" s="433"/>
      <c r="I776" s="353"/>
      <c r="J776" s="433"/>
    </row>
    <row r="777">
      <c r="A777" s="433"/>
      <c r="B777" s="456"/>
      <c r="C777" s="433"/>
      <c r="D777" s="433"/>
      <c r="E777" s="460"/>
      <c r="F777" s="351"/>
      <c r="G777" s="456"/>
      <c r="H777" s="433"/>
      <c r="I777" s="353"/>
      <c r="J777" s="433"/>
    </row>
    <row r="778">
      <c r="A778" s="433"/>
      <c r="B778" s="456"/>
      <c r="C778" s="433"/>
      <c r="D778" s="433"/>
      <c r="E778" s="460"/>
      <c r="F778" s="351"/>
      <c r="G778" s="456"/>
      <c r="H778" s="433"/>
      <c r="I778" s="353"/>
      <c r="J778" s="433"/>
    </row>
    <row r="779">
      <c r="A779" s="433"/>
      <c r="B779" s="456"/>
      <c r="C779" s="433"/>
      <c r="D779" s="433"/>
      <c r="E779" s="460"/>
      <c r="F779" s="351"/>
      <c r="G779" s="456"/>
      <c r="H779" s="433"/>
      <c r="I779" s="353"/>
      <c r="J779" s="433"/>
    </row>
    <row r="780">
      <c r="A780" s="433"/>
      <c r="B780" s="456"/>
      <c r="C780" s="433"/>
      <c r="D780" s="433"/>
      <c r="E780" s="460"/>
      <c r="F780" s="351"/>
      <c r="G780" s="456"/>
      <c r="H780" s="433"/>
      <c r="I780" s="353"/>
      <c r="J780" s="433"/>
    </row>
    <row r="781">
      <c r="A781" s="433"/>
      <c r="B781" s="456"/>
      <c r="C781" s="433"/>
      <c r="D781" s="433"/>
      <c r="E781" s="460"/>
      <c r="F781" s="351"/>
      <c r="G781" s="456"/>
      <c r="H781" s="433"/>
      <c r="I781" s="353"/>
      <c r="J781" s="433"/>
    </row>
    <row r="782">
      <c r="A782" s="433"/>
      <c r="B782" s="456"/>
      <c r="C782" s="433"/>
      <c r="D782" s="433"/>
      <c r="E782" s="460"/>
      <c r="F782" s="351"/>
      <c r="G782" s="456"/>
      <c r="H782" s="433"/>
      <c r="I782" s="353"/>
      <c r="J782" s="433"/>
    </row>
    <row r="783">
      <c r="A783" s="433"/>
      <c r="B783" s="456"/>
      <c r="C783" s="433"/>
      <c r="D783" s="433"/>
      <c r="E783" s="460"/>
      <c r="F783" s="351"/>
      <c r="G783" s="456"/>
      <c r="H783" s="433"/>
      <c r="I783" s="353"/>
      <c r="J783" s="433"/>
    </row>
    <row r="784">
      <c r="A784" s="433"/>
      <c r="B784" s="456"/>
      <c r="C784" s="433"/>
      <c r="D784" s="433"/>
      <c r="E784" s="460"/>
      <c r="F784" s="351"/>
      <c r="G784" s="456"/>
      <c r="H784" s="433"/>
      <c r="I784" s="353"/>
      <c r="J784" s="433"/>
    </row>
    <row r="785">
      <c r="A785" s="433"/>
      <c r="B785" s="456"/>
      <c r="C785" s="433"/>
      <c r="D785" s="433"/>
      <c r="E785" s="460"/>
      <c r="F785" s="351"/>
      <c r="G785" s="456"/>
      <c r="H785" s="433"/>
      <c r="I785" s="353"/>
      <c r="J785" s="433"/>
    </row>
    <row r="786">
      <c r="A786" s="433"/>
      <c r="B786" s="456"/>
      <c r="C786" s="433"/>
      <c r="D786" s="433"/>
      <c r="E786" s="460"/>
      <c r="F786" s="351"/>
      <c r="G786" s="456"/>
      <c r="H786" s="433"/>
      <c r="I786" s="353"/>
      <c r="J786" s="433"/>
    </row>
    <row r="787">
      <c r="A787" s="433"/>
      <c r="B787" s="456"/>
      <c r="C787" s="433"/>
      <c r="D787" s="433"/>
      <c r="E787" s="460"/>
      <c r="F787" s="351"/>
      <c r="G787" s="456"/>
      <c r="H787" s="433"/>
      <c r="I787" s="353"/>
      <c r="J787" s="433"/>
    </row>
    <row r="788">
      <c r="A788" s="433"/>
      <c r="B788" s="456"/>
      <c r="C788" s="433"/>
      <c r="D788" s="433"/>
      <c r="E788" s="460"/>
      <c r="F788" s="351"/>
      <c r="G788" s="456"/>
      <c r="H788" s="433"/>
      <c r="I788" s="353"/>
      <c r="J788" s="433"/>
    </row>
    <row r="789">
      <c r="A789" s="433"/>
      <c r="B789" s="456"/>
      <c r="C789" s="433"/>
      <c r="D789" s="433"/>
      <c r="E789" s="460"/>
      <c r="F789" s="351"/>
      <c r="G789" s="456"/>
      <c r="H789" s="433"/>
      <c r="I789" s="353"/>
      <c r="J789" s="433"/>
    </row>
    <row r="790">
      <c r="A790" s="433"/>
      <c r="B790" s="456"/>
      <c r="C790" s="433"/>
      <c r="D790" s="433"/>
      <c r="E790" s="460"/>
      <c r="F790" s="351"/>
      <c r="G790" s="456"/>
      <c r="H790" s="433"/>
      <c r="I790" s="353"/>
      <c r="J790" s="433"/>
    </row>
    <row r="791">
      <c r="A791" s="433"/>
      <c r="B791" s="456"/>
      <c r="C791" s="433"/>
      <c r="D791" s="433"/>
      <c r="E791" s="460"/>
      <c r="F791" s="351"/>
      <c r="G791" s="456"/>
      <c r="H791" s="433"/>
      <c r="I791" s="353"/>
      <c r="J791" s="433"/>
    </row>
    <row r="792">
      <c r="A792" s="433"/>
      <c r="B792" s="456"/>
      <c r="C792" s="433"/>
      <c r="D792" s="433"/>
      <c r="E792" s="460"/>
      <c r="F792" s="351"/>
      <c r="G792" s="456"/>
      <c r="H792" s="433"/>
      <c r="I792" s="353"/>
      <c r="J792" s="433"/>
    </row>
    <row r="793">
      <c r="A793" s="433"/>
      <c r="B793" s="456"/>
      <c r="C793" s="433"/>
      <c r="D793" s="433"/>
      <c r="E793" s="460"/>
      <c r="F793" s="351"/>
      <c r="G793" s="456"/>
      <c r="H793" s="433"/>
      <c r="I793" s="353"/>
      <c r="J793" s="433"/>
    </row>
    <row r="794">
      <c r="A794" s="433"/>
      <c r="B794" s="456"/>
      <c r="C794" s="433"/>
      <c r="D794" s="433"/>
      <c r="E794" s="460"/>
      <c r="F794" s="351"/>
      <c r="G794" s="456"/>
      <c r="H794" s="433"/>
      <c r="I794" s="353"/>
      <c r="J794" s="433"/>
    </row>
    <row r="795">
      <c r="A795" s="433"/>
      <c r="B795" s="456"/>
      <c r="C795" s="433"/>
      <c r="D795" s="433"/>
      <c r="E795" s="460"/>
      <c r="F795" s="351"/>
      <c r="G795" s="456"/>
      <c r="H795" s="433"/>
      <c r="I795" s="353"/>
      <c r="J795" s="433"/>
    </row>
    <row r="796">
      <c r="A796" s="433"/>
      <c r="B796" s="456"/>
      <c r="C796" s="433"/>
      <c r="D796" s="433"/>
      <c r="E796" s="460"/>
      <c r="F796" s="351"/>
      <c r="G796" s="456"/>
      <c r="H796" s="433"/>
      <c r="I796" s="353"/>
      <c r="J796" s="433"/>
    </row>
    <row r="797">
      <c r="A797" s="433"/>
      <c r="B797" s="456"/>
      <c r="C797" s="433"/>
      <c r="D797" s="433"/>
      <c r="E797" s="460"/>
      <c r="F797" s="351"/>
      <c r="G797" s="456"/>
      <c r="H797" s="433"/>
      <c r="I797" s="353"/>
      <c r="J797" s="433"/>
    </row>
    <row r="798">
      <c r="A798" s="433"/>
      <c r="B798" s="456"/>
      <c r="C798" s="433"/>
      <c r="D798" s="433"/>
      <c r="E798" s="460"/>
      <c r="F798" s="351"/>
      <c r="G798" s="456"/>
      <c r="H798" s="433"/>
      <c r="I798" s="353"/>
      <c r="J798" s="433"/>
    </row>
    <row r="799">
      <c r="A799" s="433"/>
      <c r="B799" s="456"/>
      <c r="C799" s="433"/>
      <c r="D799" s="433"/>
      <c r="E799" s="460"/>
      <c r="F799" s="351"/>
      <c r="G799" s="456"/>
      <c r="H799" s="433"/>
      <c r="I799" s="353"/>
      <c r="J799" s="433"/>
    </row>
    <row r="800">
      <c r="A800" s="433"/>
      <c r="B800" s="456"/>
      <c r="C800" s="433"/>
      <c r="D800" s="433"/>
      <c r="E800" s="460"/>
      <c r="F800" s="351"/>
      <c r="G800" s="456"/>
      <c r="H800" s="433"/>
      <c r="I800" s="353"/>
      <c r="J800" s="433"/>
    </row>
    <row r="801">
      <c r="A801" s="433"/>
      <c r="B801" s="456"/>
      <c r="C801" s="433"/>
      <c r="D801" s="433"/>
      <c r="E801" s="460"/>
      <c r="F801" s="351"/>
      <c r="G801" s="456"/>
      <c r="H801" s="433"/>
      <c r="I801" s="353"/>
      <c r="J801" s="433"/>
    </row>
    <row r="802">
      <c r="A802" s="433"/>
      <c r="B802" s="456"/>
      <c r="C802" s="433"/>
      <c r="D802" s="433"/>
      <c r="E802" s="460"/>
      <c r="F802" s="351"/>
      <c r="G802" s="456"/>
      <c r="H802" s="433"/>
      <c r="I802" s="353"/>
      <c r="J802" s="433"/>
    </row>
    <row r="803">
      <c r="A803" s="433"/>
      <c r="B803" s="456"/>
      <c r="C803" s="433"/>
      <c r="D803" s="433"/>
      <c r="E803" s="460"/>
      <c r="F803" s="351"/>
      <c r="G803" s="456"/>
      <c r="H803" s="433"/>
      <c r="I803" s="353"/>
      <c r="J803" s="433"/>
    </row>
    <row r="804">
      <c r="A804" s="433"/>
      <c r="B804" s="456"/>
      <c r="C804" s="433"/>
      <c r="D804" s="433"/>
      <c r="E804" s="460"/>
      <c r="F804" s="351"/>
      <c r="G804" s="456"/>
      <c r="H804" s="433"/>
      <c r="I804" s="353"/>
      <c r="J804" s="433"/>
    </row>
    <row r="805">
      <c r="A805" s="433"/>
      <c r="B805" s="456"/>
      <c r="C805" s="433"/>
      <c r="D805" s="433"/>
      <c r="E805" s="460"/>
      <c r="F805" s="351"/>
      <c r="G805" s="456"/>
      <c r="H805" s="433"/>
      <c r="I805" s="353"/>
      <c r="J805" s="433"/>
    </row>
    <row r="806">
      <c r="A806" s="433"/>
      <c r="B806" s="456"/>
      <c r="C806" s="433"/>
      <c r="D806" s="433"/>
      <c r="E806" s="460"/>
      <c r="F806" s="351"/>
      <c r="G806" s="456"/>
      <c r="H806" s="433"/>
      <c r="I806" s="353"/>
      <c r="J806" s="433"/>
    </row>
    <row r="807">
      <c r="A807" s="433"/>
      <c r="B807" s="456"/>
      <c r="C807" s="433"/>
      <c r="D807" s="433"/>
      <c r="E807" s="460"/>
      <c r="F807" s="351"/>
      <c r="G807" s="456"/>
      <c r="H807" s="433"/>
      <c r="I807" s="353"/>
      <c r="J807" s="433"/>
    </row>
    <row r="808">
      <c r="A808" s="433"/>
      <c r="B808" s="456"/>
      <c r="C808" s="433"/>
      <c r="D808" s="433"/>
      <c r="E808" s="460"/>
      <c r="F808" s="351"/>
      <c r="G808" s="456"/>
      <c r="H808" s="433"/>
      <c r="I808" s="353"/>
      <c r="J808" s="433"/>
    </row>
    <row r="809">
      <c r="A809" s="433"/>
      <c r="B809" s="456"/>
      <c r="C809" s="433"/>
      <c r="D809" s="433"/>
      <c r="E809" s="460"/>
      <c r="F809" s="351"/>
      <c r="G809" s="456"/>
      <c r="H809" s="433"/>
      <c r="I809" s="353"/>
      <c r="J809" s="433"/>
    </row>
    <row r="810">
      <c r="A810" s="433"/>
      <c r="B810" s="456"/>
      <c r="C810" s="433"/>
      <c r="D810" s="433"/>
      <c r="E810" s="460"/>
      <c r="F810" s="351"/>
      <c r="G810" s="456"/>
      <c r="H810" s="433"/>
      <c r="I810" s="353"/>
      <c r="J810" s="433"/>
    </row>
    <row r="811">
      <c r="A811" s="433"/>
      <c r="B811" s="456"/>
      <c r="C811" s="433"/>
      <c r="D811" s="433"/>
      <c r="E811" s="460"/>
      <c r="F811" s="351"/>
      <c r="G811" s="456"/>
      <c r="H811" s="433"/>
      <c r="I811" s="353"/>
      <c r="J811" s="433"/>
    </row>
    <row r="812">
      <c r="A812" s="433"/>
      <c r="B812" s="456"/>
      <c r="C812" s="433"/>
      <c r="D812" s="433"/>
      <c r="E812" s="460"/>
      <c r="F812" s="351"/>
      <c r="G812" s="456"/>
      <c r="H812" s="433"/>
      <c r="I812" s="353"/>
      <c r="J812" s="433"/>
    </row>
    <row r="813">
      <c r="A813" s="433"/>
      <c r="B813" s="456"/>
      <c r="C813" s="433"/>
      <c r="D813" s="433"/>
      <c r="E813" s="460"/>
      <c r="F813" s="351"/>
      <c r="G813" s="456"/>
      <c r="H813" s="433"/>
      <c r="I813" s="353"/>
      <c r="J813" s="433"/>
    </row>
    <row r="814">
      <c r="A814" s="433"/>
      <c r="B814" s="456"/>
      <c r="C814" s="433"/>
      <c r="D814" s="433"/>
      <c r="E814" s="460"/>
      <c r="F814" s="351"/>
      <c r="G814" s="456"/>
      <c r="H814" s="433"/>
      <c r="I814" s="353"/>
      <c r="J814" s="433"/>
    </row>
    <row r="815">
      <c r="A815" s="433"/>
      <c r="B815" s="456"/>
      <c r="C815" s="433"/>
      <c r="D815" s="433"/>
      <c r="E815" s="460"/>
      <c r="F815" s="351"/>
      <c r="G815" s="456"/>
      <c r="H815" s="433"/>
      <c r="I815" s="353"/>
      <c r="J815" s="433"/>
    </row>
    <row r="816">
      <c r="A816" s="433"/>
      <c r="B816" s="456"/>
      <c r="C816" s="433"/>
      <c r="D816" s="433"/>
      <c r="E816" s="460"/>
      <c r="F816" s="351"/>
      <c r="G816" s="456"/>
      <c r="H816" s="433"/>
      <c r="I816" s="353"/>
      <c r="J816" s="433"/>
    </row>
    <row r="817">
      <c r="A817" s="433"/>
      <c r="B817" s="456"/>
      <c r="C817" s="433"/>
      <c r="D817" s="433"/>
      <c r="E817" s="460"/>
      <c r="F817" s="351"/>
      <c r="G817" s="456"/>
      <c r="H817" s="433"/>
      <c r="I817" s="353"/>
      <c r="J817" s="433"/>
    </row>
    <row r="818">
      <c r="A818" s="433"/>
      <c r="B818" s="456"/>
      <c r="C818" s="433"/>
      <c r="D818" s="433"/>
      <c r="E818" s="460"/>
      <c r="F818" s="351"/>
      <c r="G818" s="456"/>
      <c r="H818" s="433"/>
      <c r="I818" s="353"/>
      <c r="J818" s="433"/>
    </row>
    <row r="819">
      <c r="A819" s="433"/>
      <c r="B819" s="456"/>
      <c r="C819" s="433"/>
      <c r="D819" s="433"/>
      <c r="E819" s="460"/>
      <c r="F819" s="351"/>
      <c r="G819" s="456"/>
      <c r="H819" s="433"/>
      <c r="I819" s="353"/>
      <c r="J819" s="433"/>
    </row>
    <row r="820">
      <c r="A820" s="433"/>
      <c r="B820" s="456"/>
      <c r="C820" s="433"/>
      <c r="D820" s="433"/>
      <c r="E820" s="460"/>
      <c r="F820" s="351"/>
      <c r="G820" s="456"/>
      <c r="H820" s="433"/>
      <c r="I820" s="353"/>
      <c r="J820" s="433"/>
    </row>
    <row r="821">
      <c r="A821" s="433"/>
      <c r="B821" s="456"/>
      <c r="C821" s="433"/>
      <c r="D821" s="433"/>
      <c r="E821" s="460"/>
      <c r="F821" s="351"/>
      <c r="G821" s="456"/>
      <c r="H821" s="433"/>
      <c r="I821" s="353"/>
      <c r="J821" s="433"/>
    </row>
    <row r="822">
      <c r="A822" s="433"/>
      <c r="B822" s="456"/>
      <c r="C822" s="433"/>
      <c r="D822" s="433"/>
      <c r="E822" s="460"/>
      <c r="F822" s="351"/>
      <c r="G822" s="456"/>
      <c r="H822" s="433"/>
      <c r="I822" s="353"/>
      <c r="J822" s="433"/>
    </row>
    <row r="823">
      <c r="A823" s="433"/>
      <c r="B823" s="456"/>
      <c r="C823" s="433"/>
      <c r="D823" s="433"/>
      <c r="E823" s="460"/>
      <c r="F823" s="351"/>
      <c r="G823" s="456"/>
      <c r="H823" s="433"/>
      <c r="I823" s="353"/>
      <c r="J823" s="433"/>
    </row>
    <row r="824">
      <c r="A824" s="433"/>
      <c r="B824" s="456"/>
      <c r="C824" s="433"/>
      <c r="D824" s="433"/>
      <c r="E824" s="460"/>
      <c r="F824" s="351"/>
      <c r="G824" s="456"/>
      <c r="H824" s="433"/>
      <c r="I824" s="353"/>
      <c r="J824" s="433"/>
    </row>
    <row r="825">
      <c r="A825" s="433"/>
      <c r="B825" s="456"/>
      <c r="C825" s="433"/>
      <c r="D825" s="433"/>
      <c r="E825" s="460"/>
      <c r="F825" s="351"/>
      <c r="G825" s="456"/>
      <c r="H825" s="433"/>
      <c r="I825" s="353"/>
      <c r="J825" s="433"/>
    </row>
    <row r="826">
      <c r="A826" s="433"/>
      <c r="B826" s="456"/>
      <c r="C826" s="433"/>
      <c r="D826" s="433"/>
      <c r="E826" s="460"/>
      <c r="F826" s="351"/>
      <c r="G826" s="456"/>
      <c r="H826" s="433"/>
      <c r="I826" s="353"/>
      <c r="J826" s="433"/>
    </row>
    <row r="827">
      <c r="A827" s="433"/>
      <c r="B827" s="456"/>
      <c r="C827" s="433"/>
      <c r="D827" s="433"/>
      <c r="E827" s="460"/>
      <c r="F827" s="351"/>
      <c r="G827" s="456"/>
      <c r="H827" s="433"/>
      <c r="I827" s="353"/>
      <c r="J827" s="433"/>
    </row>
    <row r="828">
      <c r="A828" s="433"/>
      <c r="B828" s="456"/>
      <c r="C828" s="433"/>
      <c r="D828" s="433"/>
      <c r="E828" s="460"/>
      <c r="F828" s="351"/>
      <c r="G828" s="456"/>
      <c r="H828" s="433"/>
      <c r="I828" s="353"/>
      <c r="J828" s="433"/>
    </row>
    <row r="829">
      <c r="A829" s="433"/>
      <c r="B829" s="456"/>
      <c r="C829" s="433"/>
      <c r="D829" s="433"/>
      <c r="E829" s="460"/>
      <c r="F829" s="351"/>
      <c r="G829" s="456"/>
      <c r="H829" s="433"/>
      <c r="I829" s="353"/>
      <c r="J829" s="433"/>
    </row>
    <row r="830">
      <c r="A830" s="433"/>
      <c r="B830" s="456"/>
      <c r="C830" s="433"/>
      <c r="D830" s="433"/>
      <c r="E830" s="460"/>
      <c r="F830" s="351"/>
      <c r="G830" s="456"/>
      <c r="H830" s="433"/>
      <c r="I830" s="353"/>
      <c r="J830" s="433"/>
    </row>
    <row r="831">
      <c r="A831" s="433"/>
      <c r="B831" s="456"/>
      <c r="C831" s="433"/>
      <c r="D831" s="433"/>
      <c r="E831" s="460"/>
      <c r="F831" s="351"/>
      <c r="G831" s="456"/>
      <c r="H831" s="433"/>
      <c r="I831" s="353"/>
      <c r="J831" s="433"/>
    </row>
    <row r="832">
      <c r="A832" s="433"/>
      <c r="B832" s="456"/>
      <c r="C832" s="433"/>
      <c r="D832" s="433"/>
      <c r="E832" s="460"/>
      <c r="F832" s="351"/>
      <c r="G832" s="456"/>
      <c r="H832" s="433"/>
      <c r="I832" s="353"/>
      <c r="J832" s="433"/>
    </row>
    <row r="833">
      <c r="A833" s="433"/>
      <c r="B833" s="456"/>
      <c r="C833" s="433"/>
      <c r="D833" s="433"/>
      <c r="E833" s="460"/>
      <c r="F833" s="351"/>
      <c r="G833" s="456"/>
      <c r="H833" s="433"/>
      <c r="I833" s="353"/>
      <c r="J833" s="433"/>
    </row>
    <row r="834">
      <c r="A834" s="433"/>
      <c r="B834" s="456"/>
      <c r="C834" s="433"/>
      <c r="D834" s="433"/>
      <c r="E834" s="460"/>
      <c r="F834" s="351"/>
      <c r="G834" s="456"/>
      <c r="H834" s="433"/>
      <c r="I834" s="353"/>
      <c r="J834" s="433"/>
    </row>
    <row r="835">
      <c r="A835" s="433"/>
      <c r="B835" s="456"/>
      <c r="C835" s="433"/>
      <c r="D835" s="433"/>
      <c r="E835" s="460"/>
      <c r="F835" s="351"/>
      <c r="G835" s="456"/>
      <c r="H835" s="433"/>
      <c r="I835" s="353"/>
      <c r="J835" s="433"/>
    </row>
    <row r="836">
      <c r="A836" s="433"/>
      <c r="B836" s="456"/>
      <c r="C836" s="433"/>
      <c r="D836" s="433"/>
      <c r="E836" s="460"/>
      <c r="F836" s="351"/>
      <c r="G836" s="456"/>
      <c r="H836" s="433"/>
      <c r="I836" s="353"/>
      <c r="J836" s="433"/>
    </row>
    <row r="837">
      <c r="A837" s="433"/>
      <c r="B837" s="456"/>
      <c r="C837" s="433"/>
      <c r="D837" s="433"/>
      <c r="E837" s="460"/>
      <c r="F837" s="351"/>
      <c r="G837" s="456"/>
      <c r="H837" s="433"/>
      <c r="I837" s="353"/>
      <c r="J837" s="433"/>
    </row>
    <row r="838">
      <c r="A838" s="433"/>
      <c r="B838" s="456"/>
      <c r="C838" s="433"/>
      <c r="D838" s="433"/>
      <c r="E838" s="460"/>
      <c r="F838" s="351"/>
      <c r="G838" s="456"/>
      <c r="H838" s="433"/>
      <c r="I838" s="353"/>
      <c r="J838" s="433"/>
    </row>
    <row r="839">
      <c r="A839" s="433"/>
      <c r="B839" s="456"/>
      <c r="C839" s="433"/>
      <c r="D839" s="433"/>
      <c r="E839" s="460"/>
      <c r="F839" s="351"/>
      <c r="G839" s="456"/>
      <c r="H839" s="433"/>
      <c r="I839" s="353"/>
      <c r="J839" s="433"/>
    </row>
    <row r="840">
      <c r="A840" s="433"/>
      <c r="B840" s="456"/>
      <c r="C840" s="433"/>
      <c r="D840" s="433"/>
      <c r="E840" s="460"/>
      <c r="F840" s="351"/>
      <c r="G840" s="456"/>
      <c r="H840" s="433"/>
      <c r="I840" s="353"/>
      <c r="J840" s="433"/>
    </row>
    <row r="841">
      <c r="A841" s="433"/>
      <c r="B841" s="456"/>
      <c r="C841" s="433"/>
      <c r="D841" s="433"/>
      <c r="E841" s="460"/>
      <c r="F841" s="351"/>
      <c r="G841" s="456"/>
      <c r="H841" s="433"/>
      <c r="I841" s="353"/>
      <c r="J841" s="433"/>
    </row>
    <row r="842">
      <c r="A842" s="433"/>
      <c r="B842" s="456"/>
      <c r="C842" s="433"/>
      <c r="D842" s="433"/>
      <c r="E842" s="460"/>
      <c r="F842" s="351"/>
      <c r="G842" s="456"/>
      <c r="H842" s="433"/>
      <c r="I842" s="353"/>
      <c r="J842" s="433"/>
    </row>
    <row r="843">
      <c r="A843" s="433"/>
      <c r="B843" s="456"/>
      <c r="C843" s="433"/>
      <c r="D843" s="433"/>
      <c r="E843" s="460"/>
      <c r="F843" s="351"/>
      <c r="G843" s="456"/>
      <c r="H843" s="433"/>
      <c r="I843" s="353"/>
      <c r="J843" s="433"/>
    </row>
    <row r="844">
      <c r="A844" s="433"/>
      <c r="B844" s="456"/>
      <c r="C844" s="433"/>
      <c r="D844" s="433"/>
      <c r="E844" s="460"/>
      <c r="F844" s="351"/>
      <c r="G844" s="456"/>
      <c r="H844" s="433"/>
      <c r="I844" s="353"/>
      <c r="J844" s="433"/>
    </row>
    <row r="845">
      <c r="A845" s="433"/>
      <c r="B845" s="456"/>
      <c r="C845" s="433"/>
      <c r="D845" s="433"/>
      <c r="E845" s="460"/>
      <c r="F845" s="351"/>
      <c r="G845" s="456"/>
      <c r="H845" s="433"/>
      <c r="I845" s="353"/>
      <c r="J845" s="433"/>
    </row>
    <row r="846">
      <c r="A846" s="433"/>
      <c r="B846" s="456"/>
      <c r="C846" s="433"/>
      <c r="D846" s="433"/>
      <c r="E846" s="460"/>
      <c r="F846" s="351"/>
      <c r="G846" s="456"/>
      <c r="H846" s="433"/>
      <c r="I846" s="353"/>
      <c r="J846" s="433"/>
    </row>
    <row r="847">
      <c r="A847" s="433"/>
      <c r="B847" s="456"/>
      <c r="C847" s="433"/>
      <c r="D847" s="433"/>
      <c r="E847" s="460"/>
      <c r="F847" s="351"/>
      <c r="G847" s="456"/>
      <c r="H847" s="433"/>
      <c r="I847" s="353"/>
      <c r="J847" s="433"/>
    </row>
    <row r="848">
      <c r="A848" s="433"/>
      <c r="B848" s="456"/>
      <c r="C848" s="433"/>
      <c r="D848" s="433"/>
      <c r="E848" s="460"/>
      <c r="F848" s="351"/>
      <c r="G848" s="456"/>
      <c r="H848" s="433"/>
      <c r="I848" s="353"/>
      <c r="J848" s="433"/>
    </row>
    <row r="849">
      <c r="A849" s="433"/>
      <c r="B849" s="456"/>
      <c r="C849" s="433"/>
      <c r="D849" s="433"/>
      <c r="E849" s="460"/>
      <c r="F849" s="351"/>
      <c r="G849" s="456"/>
      <c r="H849" s="433"/>
      <c r="I849" s="353"/>
      <c r="J849" s="433"/>
    </row>
    <row r="850">
      <c r="A850" s="433"/>
      <c r="B850" s="456"/>
      <c r="C850" s="433"/>
      <c r="D850" s="433"/>
      <c r="E850" s="460"/>
      <c r="F850" s="351"/>
      <c r="G850" s="456"/>
      <c r="H850" s="433"/>
      <c r="I850" s="353"/>
      <c r="J850" s="433"/>
    </row>
    <row r="851">
      <c r="A851" s="433"/>
      <c r="B851" s="456"/>
      <c r="C851" s="433"/>
      <c r="D851" s="433"/>
      <c r="E851" s="460"/>
      <c r="F851" s="351"/>
      <c r="G851" s="456"/>
      <c r="H851" s="433"/>
      <c r="I851" s="353"/>
      <c r="J851" s="433"/>
    </row>
    <row r="852">
      <c r="A852" s="433"/>
      <c r="B852" s="456"/>
      <c r="C852" s="433"/>
      <c r="D852" s="433"/>
      <c r="E852" s="460"/>
      <c r="F852" s="351"/>
      <c r="G852" s="456"/>
      <c r="H852" s="433"/>
      <c r="I852" s="353"/>
      <c r="J852" s="433"/>
    </row>
    <row r="853">
      <c r="A853" s="433"/>
      <c r="B853" s="456"/>
      <c r="C853" s="433"/>
      <c r="D853" s="433"/>
      <c r="E853" s="460"/>
      <c r="F853" s="351"/>
      <c r="G853" s="456"/>
      <c r="H853" s="433"/>
      <c r="I853" s="353"/>
      <c r="J853" s="433"/>
    </row>
    <row r="854">
      <c r="A854" s="433"/>
      <c r="B854" s="456"/>
      <c r="C854" s="433"/>
      <c r="D854" s="433"/>
      <c r="E854" s="460"/>
      <c r="F854" s="351"/>
      <c r="G854" s="456"/>
      <c r="H854" s="433"/>
      <c r="I854" s="353"/>
      <c r="J854" s="433"/>
    </row>
    <row r="855">
      <c r="A855" s="433"/>
      <c r="B855" s="456"/>
      <c r="C855" s="433"/>
      <c r="D855" s="433"/>
      <c r="E855" s="460"/>
      <c r="F855" s="351"/>
      <c r="G855" s="456"/>
      <c r="H855" s="433"/>
      <c r="I855" s="353"/>
      <c r="J855" s="433"/>
    </row>
    <row r="856">
      <c r="A856" s="433"/>
      <c r="B856" s="456"/>
      <c r="C856" s="433"/>
      <c r="D856" s="433"/>
      <c r="E856" s="460"/>
      <c r="F856" s="351"/>
      <c r="G856" s="456"/>
      <c r="H856" s="433"/>
      <c r="I856" s="353"/>
      <c r="J856" s="433"/>
    </row>
    <row r="857">
      <c r="A857" s="433"/>
      <c r="B857" s="456"/>
      <c r="C857" s="433"/>
      <c r="D857" s="433"/>
      <c r="E857" s="460"/>
      <c r="F857" s="351"/>
      <c r="G857" s="456"/>
      <c r="H857" s="433"/>
      <c r="I857" s="353"/>
      <c r="J857" s="433"/>
    </row>
    <row r="858">
      <c r="A858" s="433"/>
      <c r="B858" s="456"/>
      <c r="C858" s="433"/>
      <c r="D858" s="433"/>
      <c r="E858" s="460"/>
      <c r="F858" s="351"/>
      <c r="G858" s="456"/>
      <c r="H858" s="433"/>
      <c r="I858" s="353"/>
      <c r="J858" s="433"/>
    </row>
    <row r="859">
      <c r="A859" s="433"/>
      <c r="B859" s="456"/>
      <c r="C859" s="433"/>
      <c r="D859" s="433"/>
      <c r="E859" s="460"/>
      <c r="F859" s="351"/>
      <c r="G859" s="456"/>
      <c r="H859" s="433"/>
      <c r="I859" s="353"/>
      <c r="J859" s="433"/>
    </row>
    <row r="860">
      <c r="A860" s="433"/>
      <c r="B860" s="456"/>
      <c r="C860" s="433"/>
      <c r="D860" s="433"/>
      <c r="E860" s="460"/>
      <c r="F860" s="351"/>
      <c r="G860" s="456"/>
      <c r="H860" s="433"/>
      <c r="I860" s="353"/>
      <c r="J860" s="433"/>
    </row>
    <row r="861">
      <c r="A861" s="433"/>
      <c r="B861" s="456"/>
      <c r="C861" s="433"/>
      <c r="D861" s="433"/>
      <c r="E861" s="460"/>
      <c r="F861" s="351"/>
      <c r="G861" s="456"/>
      <c r="H861" s="433"/>
      <c r="I861" s="353"/>
      <c r="J861" s="433"/>
    </row>
    <row r="862">
      <c r="A862" s="433"/>
      <c r="B862" s="456"/>
      <c r="C862" s="433"/>
      <c r="D862" s="433"/>
      <c r="E862" s="460"/>
      <c r="F862" s="351"/>
      <c r="G862" s="456"/>
      <c r="H862" s="433"/>
      <c r="I862" s="353"/>
      <c r="J862" s="433"/>
    </row>
    <row r="863">
      <c r="A863" s="433"/>
      <c r="B863" s="456"/>
      <c r="C863" s="433"/>
      <c r="D863" s="433"/>
      <c r="E863" s="460"/>
      <c r="F863" s="351"/>
      <c r="G863" s="456"/>
      <c r="H863" s="433"/>
      <c r="I863" s="353"/>
      <c r="J863" s="433"/>
    </row>
    <row r="864">
      <c r="A864" s="433"/>
      <c r="B864" s="456"/>
      <c r="C864" s="433"/>
      <c r="D864" s="433"/>
      <c r="E864" s="460"/>
      <c r="F864" s="351"/>
      <c r="G864" s="456"/>
      <c r="H864" s="433"/>
      <c r="I864" s="353"/>
      <c r="J864" s="433"/>
    </row>
    <row r="865">
      <c r="A865" s="433"/>
      <c r="B865" s="456"/>
      <c r="C865" s="433"/>
      <c r="D865" s="433"/>
      <c r="E865" s="460"/>
      <c r="F865" s="351"/>
      <c r="G865" s="456"/>
      <c r="H865" s="433"/>
      <c r="I865" s="353"/>
      <c r="J865" s="433"/>
    </row>
    <row r="866">
      <c r="A866" s="433"/>
      <c r="B866" s="456"/>
      <c r="C866" s="433"/>
      <c r="D866" s="433"/>
      <c r="E866" s="460"/>
      <c r="F866" s="351"/>
      <c r="G866" s="456"/>
      <c r="H866" s="433"/>
      <c r="I866" s="353"/>
      <c r="J866" s="433"/>
    </row>
    <row r="867">
      <c r="A867" s="433"/>
      <c r="B867" s="456"/>
      <c r="C867" s="433"/>
      <c r="D867" s="433"/>
      <c r="E867" s="460"/>
      <c r="F867" s="351"/>
      <c r="G867" s="456"/>
      <c r="H867" s="433"/>
      <c r="I867" s="353"/>
      <c r="J867" s="433"/>
    </row>
    <row r="868">
      <c r="A868" s="433"/>
      <c r="B868" s="456"/>
      <c r="C868" s="433"/>
      <c r="D868" s="433"/>
      <c r="E868" s="460"/>
      <c r="F868" s="351"/>
      <c r="G868" s="456"/>
      <c r="H868" s="433"/>
      <c r="I868" s="353"/>
      <c r="J868" s="433"/>
    </row>
    <row r="869">
      <c r="A869" s="433"/>
      <c r="B869" s="456"/>
      <c r="C869" s="433"/>
      <c r="D869" s="433"/>
      <c r="E869" s="460"/>
      <c r="F869" s="351"/>
      <c r="G869" s="456"/>
      <c r="H869" s="433"/>
      <c r="I869" s="353"/>
      <c r="J869" s="433"/>
    </row>
    <row r="870">
      <c r="A870" s="433"/>
      <c r="B870" s="456"/>
      <c r="C870" s="433"/>
      <c r="D870" s="433"/>
      <c r="E870" s="460"/>
      <c r="F870" s="351"/>
      <c r="G870" s="456"/>
      <c r="H870" s="433"/>
      <c r="I870" s="353"/>
      <c r="J870" s="433"/>
    </row>
    <row r="871">
      <c r="A871" s="433"/>
      <c r="B871" s="456"/>
      <c r="C871" s="433"/>
      <c r="D871" s="433"/>
      <c r="E871" s="460"/>
      <c r="F871" s="351"/>
      <c r="G871" s="456"/>
      <c r="H871" s="433"/>
      <c r="I871" s="353"/>
      <c r="J871" s="433"/>
    </row>
    <row r="872">
      <c r="A872" s="433"/>
      <c r="B872" s="456"/>
      <c r="C872" s="433"/>
      <c r="D872" s="433"/>
      <c r="E872" s="460"/>
      <c r="F872" s="351"/>
      <c r="G872" s="456"/>
      <c r="H872" s="433"/>
      <c r="I872" s="353"/>
      <c r="J872" s="433"/>
    </row>
    <row r="873">
      <c r="A873" s="433"/>
      <c r="B873" s="456"/>
      <c r="C873" s="433"/>
      <c r="D873" s="433"/>
      <c r="E873" s="460"/>
      <c r="F873" s="351"/>
      <c r="G873" s="456"/>
      <c r="H873" s="433"/>
      <c r="I873" s="353"/>
      <c r="J873" s="433"/>
    </row>
    <row r="874">
      <c r="A874" s="433"/>
      <c r="B874" s="456"/>
      <c r="C874" s="433"/>
      <c r="D874" s="433"/>
      <c r="E874" s="460"/>
      <c r="F874" s="351"/>
      <c r="G874" s="456"/>
      <c r="H874" s="433"/>
      <c r="I874" s="353"/>
      <c r="J874" s="433"/>
    </row>
    <row r="875">
      <c r="A875" s="433"/>
      <c r="B875" s="456"/>
      <c r="C875" s="433"/>
      <c r="D875" s="433"/>
      <c r="E875" s="460"/>
      <c r="F875" s="351"/>
      <c r="G875" s="456"/>
      <c r="H875" s="433"/>
      <c r="I875" s="353"/>
      <c r="J875" s="433"/>
    </row>
    <row r="876">
      <c r="A876" s="433"/>
      <c r="B876" s="456"/>
      <c r="C876" s="433"/>
      <c r="D876" s="433"/>
      <c r="E876" s="460"/>
      <c r="F876" s="351"/>
      <c r="G876" s="456"/>
      <c r="H876" s="433"/>
      <c r="I876" s="353"/>
      <c r="J876" s="433"/>
    </row>
    <row r="877">
      <c r="A877" s="433"/>
      <c r="B877" s="456"/>
      <c r="C877" s="433"/>
      <c r="D877" s="433"/>
      <c r="E877" s="460"/>
      <c r="F877" s="351"/>
      <c r="G877" s="456"/>
      <c r="H877" s="433"/>
      <c r="I877" s="353"/>
      <c r="J877" s="433"/>
    </row>
    <row r="878">
      <c r="A878" s="433"/>
      <c r="B878" s="456"/>
      <c r="C878" s="433"/>
      <c r="D878" s="433"/>
      <c r="E878" s="460"/>
      <c r="F878" s="351"/>
      <c r="G878" s="456"/>
      <c r="H878" s="433"/>
      <c r="I878" s="353"/>
      <c r="J878" s="433"/>
    </row>
    <row r="879">
      <c r="A879" s="433"/>
      <c r="B879" s="456"/>
      <c r="C879" s="433"/>
      <c r="D879" s="433"/>
      <c r="E879" s="460"/>
      <c r="F879" s="351"/>
      <c r="G879" s="456"/>
      <c r="H879" s="433"/>
      <c r="I879" s="353"/>
      <c r="J879" s="433"/>
    </row>
    <row r="880">
      <c r="A880" s="433"/>
      <c r="B880" s="456"/>
      <c r="C880" s="433"/>
      <c r="D880" s="433"/>
      <c r="E880" s="460"/>
      <c r="F880" s="351"/>
      <c r="G880" s="456"/>
      <c r="H880" s="433"/>
      <c r="I880" s="353"/>
      <c r="J880" s="433"/>
    </row>
    <row r="881">
      <c r="A881" s="433"/>
      <c r="B881" s="456"/>
      <c r="C881" s="433"/>
      <c r="D881" s="433"/>
      <c r="E881" s="460"/>
      <c r="F881" s="351"/>
      <c r="G881" s="456"/>
      <c r="H881" s="433"/>
      <c r="I881" s="353"/>
      <c r="J881" s="433"/>
    </row>
    <row r="882">
      <c r="A882" s="433"/>
      <c r="B882" s="456"/>
      <c r="C882" s="433"/>
      <c r="D882" s="433"/>
      <c r="E882" s="460"/>
      <c r="F882" s="351"/>
      <c r="G882" s="456"/>
      <c r="H882" s="433"/>
      <c r="I882" s="353"/>
      <c r="J882" s="433"/>
    </row>
    <row r="883">
      <c r="A883" s="433"/>
      <c r="B883" s="456"/>
      <c r="C883" s="433"/>
      <c r="D883" s="433"/>
      <c r="E883" s="460"/>
      <c r="F883" s="351"/>
      <c r="G883" s="456"/>
      <c r="H883" s="433"/>
      <c r="I883" s="353"/>
      <c r="J883" s="433"/>
    </row>
    <row r="884">
      <c r="A884" s="433"/>
      <c r="B884" s="456"/>
      <c r="C884" s="433"/>
      <c r="D884" s="433"/>
      <c r="E884" s="460"/>
      <c r="F884" s="351"/>
      <c r="G884" s="456"/>
      <c r="H884" s="433"/>
      <c r="I884" s="353"/>
      <c r="J884" s="433"/>
    </row>
    <row r="885">
      <c r="A885" s="433"/>
      <c r="B885" s="456"/>
      <c r="C885" s="433"/>
      <c r="D885" s="433"/>
      <c r="E885" s="460"/>
      <c r="F885" s="351"/>
      <c r="G885" s="456"/>
      <c r="H885" s="433"/>
      <c r="I885" s="353"/>
      <c r="J885" s="433"/>
    </row>
    <row r="886">
      <c r="A886" s="433"/>
      <c r="B886" s="456"/>
      <c r="C886" s="433"/>
      <c r="D886" s="433"/>
      <c r="E886" s="460"/>
      <c r="F886" s="351"/>
      <c r="G886" s="456"/>
      <c r="H886" s="433"/>
      <c r="I886" s="353"/>
      <c r="J886" s="433"/>
    </row>
    <row r="887">
      <c r="A887" s="433"/>
      <c r="B887" s="456"/>
      <c r="C887" s="433"/>
      <c r="D887" s="433"/>
      <c r="E887" s="460"/>
      <c r="F887" s="351"/>
      <c r="G887" s="456"/>
      <c r="H887" s="433"/>
      <c r="I887" s="353"/>
      <c r="J887" s="433"/>
    </row>
    <row r="888">
      <c r="A888" s="433"/>
      <c r="B888" s="456"/>
      <c r="C888" s="433"/>
      <c r="D888" s="433"/>
      <c r="E888" s="460"/>
      <c r="F888" s="351"/>
      <c r="G888" s="456"/>
      <c r="H888" s="433"/>
      <c r="I888" s="353"/>
      <c r="J888" s="433"/>
    </row>
    <row r="889">
      <c r="A889" s="433"/>
      <c r="B889" s="456"/>
      <c r="C889" s="433"/>
      <c r="D889" s="433"/>
      <c r="E889" s="460"/>
      <c r="F889" s="351"/>
      <c r="G889" s="456"/>
      <c r="H889" s="433"/>
      <c r="I889" s="353"/>
      <c r="J889" s="433"/>
    </row>
    <row r="890">
      <c r="A890" s="433"/>
      <c r="B890" s="456"/>
      <c r="C890" s="433"/>
      <c r="D890" s="433"/>
      <c r="E890" s="460"/>
      <c r="F890" s="351"/>
      <c r="G890" s="456"/>
      <c r="H890" s="433"/>
      <c r="I890" s="353"/>
      <c r="J890" s="433"/>
    </row>
    <row r="891">
      <c r="A891" s="433"/>
      <c r="B891" s="456"/>
      <c r="C891" s="433"/>
      <c r="D891" s="433"/>
      <c r="E891" s="460"/>
      <c r="F891" s="351"/>
      <c r="G891" s="456"/>
      <c r="H891" s="433"/>
      <c r="I891" s="353"/>
      <c r="J891" s="433"/>
    </row>
    <row r="892">
      <c r="A892" s="433"/>
      <c r="B892" s="456"/>
      <c r="C892" s="433"/>
      <c r="D892" s="433"/>
      <c r="E892" s="460"/>
      <c r="F892" s="351"/>
      <c r="G892" s="456"/>
      <c r="H892" s="433"/>
      <c r="I892" s="353"/>
      <c r="J892" s="433"/>
    </row>
    <row r="893">
      <c r="A893" s="433"/>
      <c r="B893" s="456"/>
      <c r="C893" s="433"/>
      <c r="D893" s="433"/>
      <c r="E893" s="460"/>
      <c r="F893" s="351"/>
      <c r="G893" s="456"/>
      <c r="H893" s="433"/>
      <c r="I893" s="353"/>
      <c r="J893" s="433"/>
    </row>
    <row r="894">
      <c r="A894" s="433"/>
      <c r="B894" s="456"/>
      <c r="C894" s="433"/>
      <c r="D894" s="433"/>
      <c r="E894" s="460"/>
      <c r="F894" s="351"/>
      <c r="G894" s="456"/>
      <c r="H894" s="433"/>
      <c r="I894" s="353"/>
      <c r="J894" s="433"/>
    </row>
    <row r="895">
      <c r="A895" s="433"/>
      <c r="B895" s="456"/>
      <c r="C895" s="433"/>
      <c r="D895" s="433"/>
      <c r="E895" s="460"/>
      <c r="F895" s="351"/>
      <c r="G895" s="456"/>
      <c r="H895" s="433"/>
      <c r="I895" s="353"/>
      <c r="J895" s="433"/>
    </row>
    <row r="896">
      <c r="A896" s="433"/>
      <c r="B896" s="456"/>
      <c r="C896" s="433"/>
      <c r="D896" s="433"/>
      <c r="E896" s="460"/>
      <c r="F896" s="351"/>
      <c r="G896" s="456"/>
      <c r="H896" s="433"/>
      <c r="I896" s="353"/>
      <c r="J896" s="433"/>
    </row>
    <row r="897">
      <c r="A897" s="433"/>
      <c r="B897" s="456"/>
      <c r="C897" s="433"/>
      <c r="D897" s="433"/>
      <c r="E897" s="460"/>
      <c r="F897" s="351"/>
      <c r="G897" s="456"/>
      <c r="H897" s="433"/>
      <c r="I897" s="353"/>
      <c r="J897" s="433"/>
    </row>
    <row r="898">
      <c r="A898" s="433"/>
      <c r="B898" s="456"/>
      <c r="C898" s="433"/>
      <c r="D898" s="433"/>
      <c r="E898" s="460"/>
      <c r="F898" s="351"/>
      <c r="G898" s="456"/>
      <c r="H898" s="433"/>
      <c r="I898" s="353"/>
      <c r="J898" s="433"/>
    </row>
    <row r="899">
      <c r="A899" s="433"/>
      <c r="B899" s="456"/>
      <c r="C899" s="433"/>
      <c r="D899" s="433"/>
      <c r="E899" s="460"/>
      <c r="F899" s="351"/>
      <c r="G899" s="456"/>
      <c r="H899" s="433"/>
      <c r="I899" s="353"/>
      <c r="J899" s="433"/>
    </row>
    <row r="900">
      <c r="A900" s="433"/>
      <c r="B900" s="456"/>
      <c r="C900" s="433"/>
      <c r="D900" s="433"/>
      <c r="E900" s="460"/>
      <c r="F900" s="351"/>
      <c r="G900" s="456"/>
      <c r="H900" s="433"/>
      <c r="I900" s="353"/>
      <c r="J900" s="433"/>
    </row>
    <row r="901">
      <c r="A901" s="433"/>
      <c r="B901" s="456"/>
      <c r="C901" s="433"/>
      <c r="D901" s="433"/>
      <c r="E901" s="460"/>
      <c r="F901" s="351"/>
      <c r="G901" s="456"/>
      <c r="H901" s="433"/>
      <c r="I901" s="353"/>
      <c r="J901" s="433"/>
    </row>
    <row r="902">
      <c r="A902" s="433"/>
      <c r="B902" s="456"/>
      <c r="C902" s="433"/>
      <c r="D902" s="433"/>
      <c r="E902" s="460"/>
      <c r="F902" s="351"/>
      <c r="G902" s="456"/>
      <c r="H902" s="433"/>
      <c r="I902" s="353"/>
      <c r="J902" s="433"/>
    </row>
    <row r="903">
      <c r="A903" s="433"/>
      <c r="B903" s="456"/>
      <c r="C903" s="433"/>
      <c r="D903" s="433"/>
      <c r="E903" s="460"/>
      <c r="F903" s="351"/>
      <c r="G903" s="456"/>
      <c r="H903" s="433"/>
      <c r="I903" s="353"/>
      <c r="J903" s="433"/>
    </row>
    <row r="904">
      <c r="A904" s="433"/>
      <c r="B904" s="456"/>
      <c r="C904" s="433"/>
      <c r="D904" s="433"/>
      <c r="E904" s="460"/>
      <c r="F904" s="351"/>
      <c r="G904" s="456"/>
      <c r="H904" s="433"/>
      <c r="I904" s="353"/>
      <c r="J904" s="433"/>
    </row>
    <row r="905">
      <c r="A905" s="433"/>
      <c r="B905" s="456"/>
      <c r="C905" s="433"/>
      <c r="D905" s="433"/>
      <c r="E905" s="460"/>
      <c r="F905" s="351"/>
      <c r="G905" s="456"/>
      <c r="H905" s="433"/>
      <c r="I905" s="353"/>
      <c r="J905" s="433"/>
    </row>
    <row r="906">
      <c r="A906" s="433"/>
      <c r="B906" s="456"/>
      <c r="C906" s="433"/>
      <c r="D906" s="433"/>
      <c r="E906" s="460"/>
      <c r="F906" s="351"/>
      <c r="G906" s="456"/>
      <c r="H906" s="433"/>
      <c r="I906" s="353"/>
      <c r="J906" s="433"/>
    </row>
    <row r="907">
      <c r="A907" s="433"/>
      <c r="B907" s="456"/>
      <c r="C907" s="433"/>
      <c r="D907" s="433"/>
      <c r="E907" s="460"/>
      <c r="F907" s="351"/>
      <c r="G907" s="456"/>
      <c r="H907" s="433"/>
      <c r="I907" s="353"/>
      <c r="J907" s="433"/>
    </row>
    <row r="908">
      <c r="A908" s="433"/>
      <c r="B908" s="456"/>
      <c r="C908" s="433"/>
      <c r="D908" s="433"/>
      <c r="E908" s="460"/>
      <c r="F908" s="351"/>
      <c r="G908" s="456"/>
      <c r="H908" s="433"/>
      <c r="I908" s="353"/>
      <c r="J908" s="433"/>
    </row>
    <row r="909">
      <c r="A909" s="433"/>
      <c r="B909" s="456"/>
      <c r="C909" s="573"/>
      <c r="D909" s="573"/>
      <c r="E909" s="461"/>
      <c r="F909" s="433"/>
      <c r="G909" s="456"/>
      <c r="H909" s="433"/>
      <c r="I909" s="462"/>
      <c r="J909" s="433"/>
    </row>
  </sheetData>
  <mergeCells count="9">
    <mergeCell ref="A34:A37"/>
    <mergeCell ref="A39:A40"/>
    <mergeCell ref="A1:E1"/>
    <mergeCell ref="G1:H1"/>
    <mergeCell ref="J1:J2"/>
    <mergeCell ref="A7:A9"/>
    <mergeCell ref="A11:A15"/>
    <mergeCell ref="A19:A27"/>
    <mergeCell ref="A29:A32"/>
  </mergeCells>
  <conditionalFormatting sqref="H2:H909">
    <cfRule type="containsText" dxfId="10" priority="1" operator="containsText" text="Ja">
      <formula>NOT(ISERROR(SEARCH(("Ja"),(H2))))</formula>
    </cfRule>
  </conditionalFormatting>
  <conditionalFormatting sqref="H2:H909">
    <cfRule type="containsText" dxfId="9" priority="2" operator="containsText" text="Nee">
      <formula>NOT(ISERROR(SEARCH(("Nee"),(H2))))</formula>
    </cfRule>
  </conditionalFormatting>
  <conditionalFormatting sqref="H2:H909">
    <cfRule type="containsText" dxfId="6" priority="3" operator="containsText" text="NVT">
      <formula>NOT(ISERROR(SEARCH(("NVT"),(H2))))</formula>
    </cfRule>
  </conditionalFormatting>
  <hyperlinks>
    <hyperlink r:id="rId1" ref="E35"/>
    <hyperlink r:id="rId2" ref="E36"/>
    <hyperlink r:id="rId3" ref="E39"/>
    <hyperlink r:id="rId4" ref="E40"/>
  </hyperlinks>
  <drawing r:id="rId5"/>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45818E"/>
    <outlinePr summaryBelow="0" summaryRight="0"/>
  </sheetPr>
  <sheetViews>
    <sheetView workbookViewId="0">
      <pane ySplit="2.0" topLeftCell="A3" activePane="bottomLeft" state="frozen"/>
      <selection activeCell="B4" sqref="B4" pane="bottomLeft"/>
    </sheetView>
  </sheetViews>
  <sheetFormatPr customHeight="1" defaultColWidth="14.43" defaultRowHeight="15.75"/>
  <cols>
    <col customWidth="1" min="1" max="1" width="29.29"/>
    <col customWidth="1" min="2" max="2" width="10.29"/>
    <col customWidth="1" min="3" max="3" width="9.86"/>
    <col customWidth="1" min="4" max="4" width="15.71"/>
    <col customWidth="1" min="5" max="5" width="97.29"/>
    <col customWidth="1" min="6" max="6" width="0.86"/>
    <col customWidth="1" min="7" max="7" width="14.43"/>
    <col customWidth="1" min="8" max="8" width="12.57"/>
    <col customWidth="1" min="9" max="9" width="0.86"/>
    <col customWidth="1" min="10" max="10" width="46.43"/>
  </cols>
  <sheetData>
    <row r="1" ht="30.75" customHeight="1">
      <c r="A1" s="602" t="s">
        <v>949</v>
      </c>
      <c r="B1" s="330"/>
      <c r="C1" s="330"/>
      <c r="D1" s="330"/>
      <c r="E1" s="27"/>
      <c r="F1" s="603"/>
      <c r="G1" s="604" t="s">
        <v>149</v>
      </c>
      <c r="H1" s="335"/>
      <c r="I1" s="605"/>
      <c r="J1" s="606" t="s">
        <v>150</v>
      </c>
    </row>
    <row r="2">
      <c r="A2" s="607" t="s">
        <v>817</v>
      </c>
      <c r="B2" s="608" t="s">
        <v>152</v>
      </c>
      <c r="C2" s="608" t="s">
        <v>153</v>
      </c>
      <c r="D2" s="609" t="s">
        <v>154</v>
      </c>
      <c r="E2" s="610" t="s">
        <v>155</v>
      </c>
      <c r="F2" s="611"/>
      <c r="G2" s="612" t="s">
        <v>157</v>
      </c>
      <c r="H2" s="612" t="s">
        <v>950</v>
      </c>
      <c r="I2" s="613"/>
      <c r="J2" s="27"/>
    </row>
    <row r="3" ht="17.25" customHeight="1">
      <c r="A3" s="575" t="s">
        <v>159</v>
      </c>
      <c r="B3" s="577" t="s">
        <v>951</v>
      </c>
      <c r="C3" s="614" t="s">
        <v>191</v>
      </c>
      <c r="D3" s="614" t="s">
        <v>61</v>
      </c>
      <c r="E3" s="615" t="str">
        <f>HYPERLINK("https://www.reddit.com/r/RMTK/comments/9whejl/db0001_verbied_filmen_van_ongelukken/","Verbied filmen van ongelukken ")</f>
        <v>Verbied filmen van ongelukken </v>
      </c>
      <c r="F3" s="605"/>
      <c r="G3" s="577" t="s">
        <v>188</v>
      </c>
      <c r="H3" s="616" t="s">
        <v>267</v>
      </c>
      <c r="I3" s="605"/>
      <c r="J3" s="617" t="s">
        <v>61</v>
      </c>
    </row>
    <row r="4" ht="17.25" customHeight="1">
      <c r="B4" s="577" t="s">
        <v>952</v>
      </c>
      <c r="C4" s="614" t="s">
        <v>191</v>
      </c>
      <c r="D4" s="614" t="s">
        <v>61</v>
      </c>
      <c r="E4" s="615" t="str">
        <f>HYPERLINK("https://www.reddit.com/r/RMTK/comments/9yvtsg/db0002_burgeroolog_in_jemen/","Burgeroolog in Jemen")</f>
        <v>Burgeroolog in Jemen</v>
      </c>
      <c r="F4" s="605"/>
      <c r="G4" s="577" t="s">
        <v>183</v>
      </c>
      <c r="H4" s="616" t="s">
        <v>267</v>
      </c>
      <c r="I4" s="605"/>
      <c r="J4" s="617" t="s">
        <v>61</v>
      </c>
    </row>
    <row r="5" ht="17.25" customHeight="1">
      <c r="B5" s="577" t="s">
        <v>953</v>
      </c>
      <c r="C5" s="614" t="s">
        <v>191</v>
      </c>
      <c r="D5" s="614" t="s">
        <v>61</v>
      </c>
      <c r="E5" s="615" t="str">
        <f>HYPERLINK("https://www.reddit.com/r/RMTK/comments/a0xd2m/db0003_digitaal_nalatenschap/","Digitaal nalatenschap")</f>
        <v>Digitaal nalatenschap</v>
      </c>
      <c r="F5" s="605"/>
      <c r="G5" s="577" t="s">
        <v>186</v>
      </c>
      <c r="H5" s="618" t="s">
        <v>180</v>
      </c>
      <c r="I5" s="605"/>
      <c r="J5" s="617" t="s">
        <v>61</v>
      </c>
    </row>
    <row r="6" ht="17.25" customHeight="1">
      <c r="B6" s="577" t="s">
        <v>954</v>
      </c>
      <c r="C6" s="614" t="s">
        <v>191</v>
      </c>
      <c r="D6" s="614" t="s">
        <v>61</v>
      </c>
      <c r="E6" s="615" t="str">
        <f>HYPERLINK("https://www.reddit.com/r/RMTK/comments/a3cvch/db0004_illegaal_verblijven_op_vakantiepark/","Illegaal verblijven op vakantiepark oplossing voor woningtekort? ")</f>
        <v>Illegaal verblijven op vakantiepark oplossing voor woningtekort? </v>
      </c>
      <c r="F6" s="605"/>
      <c r="G6" s="577" t="s">
        <v>179</v>
      </c>
      <c r="H6" s="618" t="s">
        <v>180</v>
      </c>
      <c r="I6" s="605"/>
      <c r="J6" s="617" t="s">
        <v>61</v>
      </c>
    </row>
    <row r="7" ht="17.25" customHeight="1">
      <c r="B7" s="577" t="s">
        <v>955</v>
      </c>
      <c r="C7" s="619" t="s">
        <v>169</v>
      </c>
      <c r="D7" s="619" t="s">
        <v>101</v>
      </c>
      <c r="E7" s="615" t="str">
        <f>HYPERLINK("https://reddit.com/r/RMTK/comments/ae7fhl/db0005_debat_aangaande_het_gekapseisde/","Debat aangaande het gekapseisde containerschip in de Noordzee")</f>
        <v>Debat aangaande het gekapseisde containerschip in de Noordzee</v>
      </c>
      <c r="F7" s="605"/>
      <c r="G7" s="577" t="s">
        <v>956</v>
      </c>
      <c r="H7" s="618" t="s">
        <v>180</v>
      </c>
      <c r="I7" s="605"/>
      <c r="J7" s="617" t="s">
        <v>61</v>
      </c>
    </row>
    <row r="8" ht="7.5" customHeight="1">
      <c r="A8" s="528"/>
      <c r="B8" s="529"/>
      <c r="C8" s="620"/>
      <c r="D8" s="620"/>
      <c r="E8" s="621"/>
      <c r="F8" s="531"/>
      <c r="G8" s="529"/>
      <c r="H8" s="531"/>
      <c r="I8" s="531"/>
      <c r="J8" s="531"/>
    </row>
    <row r="9" ht="17.25" customHeight="1">
      <c r="A9" s="575" t="s">
        <v>208</v>
      </c>
      <c r="B9" s="577" t="s">
        <v>957</v>
      </c>
      <c r="C9" s="622" t="s">
        <v>31</v>
      </c>
      <c r="D9" s="622" t="s">
        <v>111</v>
      </c>
      <c r="E9" s="623" t="str">
        <f>HYPERLINK("https://old.reddit.com/r/RMTK/comments/anfbph/db0006_ontwikkelingshulp_zegen_of_weggegooid_geld/?","Ontwikkelingshulp: Zegen of weggegooid geld?")</f>
        <v>Ontwikkelingshulp: Zegen of weggegooid geld?</v>
      </c>
      <c r="F9" s="605"/>
      <c r="G9" s="577" t="s">
        <v>958</v>
      </c>
      <c r="H9" s="618" t="s">
        <v>180</v>
      </c>
      <c r="I9" s="605"/>
      <c r="J9" s="617" t="s">
        <v>61</v>
      </c>
    </row>
    <row r="10" ht="17.25" customHeight="1">
      <c r="B10" s="624" t="s">
        <v>959</v>
      </c>
      <c r="C10" s="625" t="s">
        <v>220</v>
      </c>
      <c r="D10" s="625" t="s">
        <v>176</v>
      </c>
      <c r="E10" s="626" t="str">
        <f>hyperlink("https://old.reddit.com/r/RMTK/comments/arzf6j/db0007_debat_naar_aanleiding_van_de_asbestdumping/","Debat naar aanleiding van de asbestdumping in Delfzijl door anti-windmolenactivisten")</f>
        <v>Debat naar aanleiding van de asbestdumping in Delfzijl door anti-windmolenactivisten</v>
      </c>
      <c r="F10" s="605"/>
      <c r="G10" s="624" t="s">
        <v>960</v>
      </c>
      <c r="H10" s="616" t="s">
        <v>267</v>
      </c>
      <c r="I10" s="605"/>
      <c r="J10" s="617" t="s">
        <v>61</v>
      </c>
    </row>
    <row r="11" ht="17.25" customHeight="1">
      <c r="B11" s="577" t="s">
        <v>961</v>
      </c>
      <c r="C11" s="614" t="s">
        <v>191</v>
      </c>
      <c r="D11" s="614" t="s">
        <v>61</v>
      </c>
      <c r="E11" s="623" t="str">
        <f>hyperlink("https://old.reddit.com/r/RMTK/comments/asdfm3/db0008_brexit_komt_dichterbij_hoe_staan_wij_er/?","Brexit komt dichterbij: Hoe staan wij ervoor?")</f>
        <v>Brexit komt dichterbij: Hoe staan wij ervoor?</v>
      </c>
      <c r="F11" s="605"/>
      <c r="G11" s="577" t="s">
        <v>183</v>
      </c>
      <c r="H11" s="618" t="s">
        <v>180</v>
      </c>
      <c r="I11" s="605"/>
      <c r="J11" s="617" t="s">
        <v>61</v>
      </c>
    </row>
    <row r="12" ht="17.25" customHeight="1">
      <c r="B12" s="577" t="s">
        <v>962</v>
      </c>
      <c r="C12" s="622" t="s">
        <v>31</v>
      </c>
      <c r="D12" s="622" t="s">
        <v>16</v>
      </c>
      <c r="E12" s="623" t="str">
        <f>hyperlink("https://old.reddit.com/r/RMTK/comments/axogxw/kv0001_kamervragen_over_klimaatmaatregelen/?","Kamervragen over klimaatmaatregelen ")</f>
        <v>Kamervragen over klimaatmaatregelen </v>
      </c>
      <c r="F12" s="605"/>
      <c r="G12" s="577" t="s">
        <v>236</v>
      </c>
      <c r="H12" s="616" t="s">
        <v>267</v>
      </c>
      <c r="I12" s="605"/>
      <c r="J12" s="617" t="s">
        <v>61</v>
      </c>
    </row>
    <row r="13" ht="7.5" customHeight="1">
      <c r="A13" s="528"/>
      <c r="B13" s="529"/>
      <c r="C13" s="620"/>
      <c r="D13" s="620"/>
      <c r="E13" s="451"/>
      <c r="F13" s="531"/>
      <c r="G13" s="529"/>
      <c r="H13" s="531"/>
      <c r="I13" s="531"/>
      <c r="J13" s="531"/>
    </row>
    <row r="14" ht="17.25" customHeight="1">
      <c r="A14" s="575" t="s">
        <v>241</v>
      </c>
      <c r="B14" s="577" t="s">
        <v>963</v>
      </c>
      <c r="C14" s="627" t="s">
        <v>589</v>
      </c>
      <c r="D14" s="627" t="s">
        <v>16</v>
      </c>
      <c r="E14" s="615" t="str">
        <f>HYPERLINK("https://www.reddit.com/r/RMTK/comments/bg5691/db0009_debat_aangaande_resultaten_onderzoek/","Debat aangaande resultaten onderzoek Koningshuis")</f>
        <v>Debat aangaande resultaten onderzoek Koningshuis</v>
      </c>
      <c r="F14" s="605"/>
      <c r="G14" s="577" t="s">
        <v>247</v>
      </c>
      <c r="H14" s="616" t="s">
        <v>267</v>
      </c>
      <c r="I14" s="605"/>
      <c r="J14" s="617" t="s">
        <v>61</v>
      </c>
    </row>
    <row r="15" ht="7.5" customHeight="1">
      <c r="A15" s="528"/>
      <c r="B15" s="529"/>
      <c r="C15" s="620"/>
      <c r="D15" s="620"/>
      <c r="E15" s="451"/>
      <c r="F15" s="531"/>
      <c r="G15" s="529"/>
      <c r="H15" s="531"/>
      <c r="I15" s="531"/>
      <c r="J15" s="531"/>
    </row>
    <row r="16" ht="17.25" customHeight="1">
      <c r="A16" s="575" t="s">
        <v>263</v>
      </c>
      <c r="B16" s="577" t="s">
        <v>964</v>
      </c>
      <c r="C16" s="614" t="s">
        <v>191</v>
      </c>
      <c r="D16" s="614" t="s">
        <v>61</v>
      </c>
      <c r="E16" s="615" t="str">
        <f>HYPERLINK("https://www.reddit.com/r/RMTK/comments/bo6nv2/db0010_debat_over_het_conflict_tussen_isra%C3%ABl_en/","Debat over het conflict tussen Israël en Gaza")</f>
        <v>Debat over het conflict tussen Israël en Gaza</v>
      </c>
      <c r="F16" s="605"/>
      <c r="G16" s="577" t="s">
        <v>183</v>
      </c>
      <c r="H16" s="616" t="s">
        <v>267</v>
      </c>
      <c r="I16" s="605"/>
      <c r="J16" s="617" t="s">
        <v>61</v>
      </c>
    </row>
    <row r="17" ht="17.25" customHeight="1">
      <c r="B17" s="577" t="s">
        <v>965</v>
      </c>
      <c r="C17" s="627" t="s">
        <v>589</v>
      </c>
      <c r="D17" s="627" t="s">
        <v>260</v>
      </c>
      <c r="E17" s="623" t="str">
        <f>hyperlink("https://www.reddit.com/r/RMTK/comments/c2ktzu/db0011_debat_beschermde_werkplekken/","Debat beschermde werkplekken")</f>
        <v>Debat beschermde werkplekken</v>
      </c>
      <c r="F17" s="605"/>
      <c r="G17" s="577" t="s">
        <v>253</v>
      </c>
      <c r="H17" s="628" t="s">
        <v>118</v>
      </c>
      <c r="I17" s="605"/>
      <c r="J17" s="617" t="s">
        <v>61</v>
      </c>
    </row>
    <row r="18" ht="7.5" customHeight="1">
      <c r="A18" s="528"/>
      <c r="B18" s="529"/>
      <c r="C18" s="620"/>
      <c r="D18" s="620"/>
      <c r="E18" s="451"/>
      <c r="F18" s="531"/>
      <c r="G18" s="529"/>
      <c r="H18" s="531"/>
      <c r="I18" s="531"/>
      <c r="J18" s="531"/>
    </row>
    <row r="19" ht="17.25" customHeight="1">
      <c r="A19" s="575" t="s">
        <v>299</v>
      </c>
      <c r="B19" s="577" t="s">
        <v>966</v>
      </c>
      <c r="C19" s="629" t="s">
        <v>274</v>
      </c>
      <c r="D19" s="629" t="s">
        <v>101</v>
      </c>
      <c r="E19" s="623" t="str">
        <f>HYPERLINK("https://www.reddit.com/r/RMTK/comments/c9i2j8/db0012_debat_aangaande_storing_kpn_en_noodnummer/","Debat aangaande storing KPN en noodnummer 112")</f>
        <v>Debat aangaande storing KPN en noodnummer 112</v>
      </c>
      <c r="F19" s="605"/>
      <c r="G19" s="577" t="s">
        <v>198</v>
      </c>
      <c r="H19" s="618" t="s">
        <v>267</v>
      </c>
      <c r="I19" s="605"/>
      <c r="J19" s="617" t="s">
        <v>61</v>
      </c>
    </row>
    <row r="20" ht="17.25" customHeight="1">
      <c r="B20" s="577" t="s">
        <v>967</v>
      </c>
      <c r="C20" s="630" t="s">
        <v>243</v>
      </c>
      <c r="D20" s="630" t="s">
        <v>244</v>
      </c>
      <c r="E20" s="623" t="str">
        <f>HYPERLINK("https://www.reddit.com/r/RMTK/comments/cand14/db0013_debat_aangaande_de_verklaring_van_het_jit/","Debat aangaande de verklaring van het JIT over MH17")</f>
        <v>Debat aangaande de verklaring van het JIT over MH17</v>
      </c>
      <c r="F20" s="605"/>
      <c r="G20" s="577" t="s">
        <v>183</v>
      </c>
      <c r="H20" s="618" t="s">
        <v>267</v>
      </c>
      <c r="I20" s="605"/>
      <c r="J20" s="617" t="s">
        <v>61</v>
      </c>
    </row>
    <row r="21" ht="17.25" customHeight="1">
      <c r="B21" s="577" t="s">
        <v>968</v>
      </c>
      <c r="C21" s="622" t="s">
        <v>31</v>
      </c>
      <c r="D21" s="622" t="s">
        <v>294</v>
      </c>
      <c r="E21" s="623" t="str">
        <f>hyperlink("https://www.reddit.com/r/RMTK/comments/cccy75/db0014_debat_over_de_toekomst_van_de_publieke/","Debat over de toekomst van de publieke omroep")</f>
        <v>Debat over de toekomst van de publieke omroep</v>
      </c>
      <c r="F21" s="605"/>
      <c r="G21" s="577" t="s">
        <v>216</v>
      </c>
      <c r="H21" s="618" t="s">
        <v>267</v>
      </c>
      <c r="I21" s="605"/>
      <c r="J21" s="617" t="s">
        <v>61</v>
      </c>
    </row>
    <row r="22" ht="17.25" customHeight="1">
      <c r="B22" s="577" t="s">
        <v>969</v>
      </c>
      <c r="C22" s="631" t="s">
        <v>258</v>
      </c>
      <c r="D22" s="631" t="s">
        <v>176</v>
      </c>
      <c r="E22" s="623" t="str">
        <f>HYPERLINK("https://www.reddit.com/r/RMTK/comments/cf9n19/db0015_debat_na_aanleiding_berichtgeving/","Debat na aanleiding berichtgeving misstanden binnen de politie")</f>
        <v>Debat na aanleiding berichtgeving misstanden binnen de politie</v>
      </c>
      <c r="F22" s="605"/>
      <c r="G22" s="577" t="s">
        <v>198</v>
      </c>
      <c r="H22" s="618" t="s">
        <v>267</v>
      </c>
      <c r="I22" s="605"/>
      <c r="J22" s="617" t="s">
        <v>61</v>
      </c>
    </row>
    <row r="23" ht="17.25" customHeight="1">
      <c r="B23" s="577" t="s">
        <v>970</v>
      </c>
      <c r="C23" s="631" t="s">
        <v>258</v>
      </c>
      <c r="D23" s="631" t="s">
        <v>176</v>
      </c>
      <c r="E23" s="623" t="str">
        <f>HYPERLINK("https://www.reddit.com/r/RMTK/comments/ci4t5q/db0016_debat_naar_aanleiding_verhandeling/","Debat naar aanleiding verhandeling privégegevens kentekenregister")</f>
        <v>Debat naar aanleiding verhandeling privégegevens kentekenregister</v>
      </c>
      <c r="F23" s="605"/>
      <c r="G23" s="577" t="s">
        <v>971</v>
      </c>
      <c r="H23" s="618" t="s">
        <v>267</v>
      </c>
      <c r="I23" s="605"/>
      <c r="J23" s="617" t="s">
        <v>61</v>
      </c>
    </row>
    <row r="24" ht="17.25" customHeight="1">
      <c r="B24" s="577" t="s">
        <v>972</v>
      </c>
      <c r="C24" s="627" t="s">
        <v>589</v>
      </c>
      <c r="D24" s="627" t="s">
        <v>102</v>
      </c>
      <c r="E24" s="623" t="str">
        <f>HYPERLINK("https://www.reddit.com/r/RMTK/comments/cl7s28/db0017_debat_naar_aanleiding_van_de_situatie_in/","Debat naar aanleiding van de situatie in Hong Kong")</f>
        <v>Debat naar aanleiding van de situatie in Hong Kong</v>
      </c>
      <c r="F24" s="605"/>
      <c r="G24" s="577" t="s">
        <v>183</v>
      </c>
      <c r="H24" s="618" t="s">
        <v>180</v>
      </c>
      <c r="I24" s="605"/>
      <c r="J24" s="617" t="s">
        <v>61</v>
      </c>
    </row>
    <row r="25" ht="17.25" customHeight="1">
      <c r="B25" s="577" t="s">
        <v>973</v>
      </c>
      <c r="C25" s="622" t="s">
        <v>31</v>
      </c>
      <c r="D25" s="622" t="s">
        <v>16</v>
      </c>
      <c r="E25" s="632" t="str">
        <f>HYPERLINK("https://www.reddit.com/r/RMTK/comments/co0pn8/db0018_debat_naar_aanleiding_van_het_rapport_van/","Debat naar aanleiding van het rapport van de Onderzoeksraad voor Veiligheid over het voedselveiligheidssysteem in Nederland")</f>
        <v>Debat naar aanleiding van het rapport van de Onderzoeksraad voor Veiligheid over het voedselveiligheidssysteem in Nederland</v>
      </c>
      <c r="F25" s="605"/>
      <c r="G25" s="577" t="s">
        <v>253</v>
      </c>
      <c r="H25" s="618" t="s">
        <v>267</v>
      </c>
      <c r="I25" s="605"/>
      <c r="J25" s="617" t="s">
        <v>61</v>
      </c>
    </row>
    <row r="26" ht="17.25" customHeight="1">
      <c r="B26" s="577" t="s">
        <v>974</v>
      </c>
      <c r="C26" s="631" t="s">
        <v>258</v>
      </c>
      <c r="D26" s="631" t="s">
        <v>176</v>
      </c>
      <c r="E26" s="623" t="str">
        <f>HYPERLINK("https://www.reddit.com/r/RMTK/comments/crbay6/db0019_debat_naar_aanleiding_overlast_amerikaanse/","Debat naar aanleiding overlast Amerikaanse rivierkreeft")</f>
        <v>Debat naar aanleiding overlast Amerikaanse rivierkreeft</v>
      </c>
      <c r="F26" s="605"/>
      <c r="G26" s="577" t="s">
        <v>250</v>
      </c>
      <c r="H26" s="618" t="s">
        <v>267</v>
      </c>
      <c r="I26" s="605"/>
      <c r="J26" s="617" t="s">
        <v>61</v>
      </c>
    </row>
    <row r="27" ht="17.25" customHeight="1">
      <c r="B27" s="577" t="s">
        <v>975</v>
      </c>
      <c r="C27" s="633" t="s">
        <v>320</v>
      </c>
      <c r="D27" s="633" t="s">
        <v>306</v>
      </c>
      <c r="E27" s="623" t="str">
        <f>HYPERLINK("https://www.reddit.com/r/RMTK/comments/cuesp9/db0020_debat_aangaande_het_cre%C3%ABren_en_handhaven/:","Debat aangaande het creëren en handhaven van vuurwerkvrije zones")</f>
        <v>Debat aangaande het creëren en handhaven van vuurwerkvrije zones</v>
      </c>
      <c r="F27" s="605"/>
      <c r="G27" s="577" t="s">
        <v>198</v>
      </c>
      <c r="H27" s="618" t="s">
        <v>267</v>
      </c>
      <c r="I27" s="605"/>
      <c r="J27" s="617" t="s">
        <v>61</v>
      </c>
    </row>
    <row r="28" ht="17.25" customHeight="1">
      <c r="B28" s="577" t="s">
        <v>976</v>
      </c>
      <c r="C28" s="630" t="s">
        <v>243</v>
      </c>
      <c r="D28" s="630" t="s">
        <v>206</v>
      </c>
      <c r="E28" s="623" t="str">
        <f>HYPERLINK("https://www.reddit.com/r/RMTK/comments/cxl9uw/db0021_debat_aangaande_de_evenementen_in_mei_2020/","Debat aangaande de evenementen in mei 2020")</f>
        <v>Debat aangaande de evenementen in mei 2020</v>
      </c>
      <c r="F28" s="605"/>
      <c r="G28" s="577" t="s">
        <v>977</v>
      </c>
      <c r="H28" s="618" t="s">
        <v>267</v>
      </c>
      <c r="I28" s="605"/>
      <c r="J28" s="617" t="s">
        <v>61</v>
      </c>
    </row>
    <row r="29" ht="17.25" customHeight="1">
      <c r="B29" s="624" t="s">
        <v>978</v>
      </c>
      <c r="C29" s="634" t="s">
        <v>589</v>
      </c>
      <c r="D29" s="634" t="s">
        <v>16</v>
      </c>
      <c r="E29" s="635" t="str">
        <f>HYPERLINK("https://www.reddit.com/r/RMTK/comments/d1s94p/ks0034_nota_van_verantwoordingsdag_begrotingsjaar/","Nota van Verantwoordingsdag Begrotingsjaar 1")</f>
        <v>Nota van Verantwoordingsdag Begrotingsjaar 1</v>
      </c>
      <c r="F29" s="636"/>
      <c r="G29" s="637" t="s">
        <v>309</v>
      </c>
      <c r="H29" s="638" t="s">
        <v>118</v>
      </c>
      <c r="I29" s="636"/>
      <c r="J29" s="639" t="s">
        <v>61</v>
      </c>
    </row>
    <row r="30" ht="17.25" customHeight="1">
      <c r="B30" s="577" t="s">
        <v>979</v>
      </c>
      <c r="C30" s="622" t="s">
        <v>31</v>
      </c>
      <c r="D30" s="622" t="s">
        <v>294</v>
      </c>
      <c r="E30" s="623" t="str">
        <f>HYPERLINK("https://www.reddit.com/r/RMTK/comments/d3rovq/db0022_debat_over_de_activiteit_van_het_kabinet/
","Debat over de activiteit van het kabinet en de motiedruk vanuit de kamer")</f>
        <v>Debat over de activiteit van het kabinet en de motiedruk vanuit de kamer</v>
      </c>
      <c r="F30" s="605"/>
      <c r="G30" s="577" t="s">
        <v>173</v>
      </c>
      <c r="H30" s="618" t="s">
        <v>267</v>
      </c>
      <c r="I30" s="605"/>
      <c r="J30" s="617" t="s">
        <v>61</v>
      </c>
    </row>
    <row r="31" ht="17.25" customHeight="1">
      <c r="B31" s="577" t="s">
        <v>980</v>
      </c>
      <c r="C31" s="614" t="s">
        <v>191</v>
      </c>
      <c r="D31" s="614" t="s">
        <v>61</v>
      </c>
      <c r="E31" s="640" t="str">
        <f>HYPERLINK("https://www.reddit.com/r/RMTK/comments/d6x1mc/db0023_toespraak_van_de_amerikaanse_president/","Toespraak van de Amerikaanse President")</f>
        <v>Toespraak van de Amerikaanse President</v>
      </c>
      <c r="F31" s="605"/>
      <c r="G31" s="577" t="s">
        <v>183</v>
      </c>
      <c r="H31" s="618" t="s">
        <v>180</v>
      </c>
      <c r="I31" s="605"/>
      <c r="J31" s="617" t="s">
        <v>61</v>
      </c>
    </row>
    <row r="32" ht="17.25" customHeight="1">
      <c r="B32" s="577" t="s">
        <v>981</v>
      </c>
      <c r="C32" s="641" t="s">
        <v>214</v>
      </c>
      <c r="D32" s="641" t="s">
        <v>182</v>
      </c>
      <c r="E32" s="623" t="str">
        <f>HYPERLINK("https://www.reddit.com/r/RMTK/comments/d6x2m1/db0024_debat_over_de_vrijheid_van_onderwijs/","Debat over de vrijheid van onderwijs")</f>
        <v>Debat over de vrijheid van onderwijs</v>
      </c>
      <c r="F32" s="605"/>
      <c r="G32" s="577" t="s">
        <v>216</v>
      </c>
      <c r="H32" s="618" t="s">
        <v>180</v>
      </c>
      <c r="I32" s="605"/>
      <c r="J32" s="617" t="s">
        <v>61</v>
      </c>
    </row>
    <row r="33" ht="17.25" customHeight="1">
      <c r="B33" s="577" t="s">
        <v>982</v>
      </c>
      <c r="C33" s="597" t="s">
        <v>348</v>
      </c>
      <c r="D33" s="597" t="s">
        <v>294</v>
      </c>
      <c r="E33" s="623" t="str">
        <f>HYPERLINK("https://www.reddit.com/r/RMTK/comments/da445c/db0025_debat_over_democratische_vernieuwing/","Debat over democratische vernieuwing")</f>
        <v>Debat over democratische vernieuwing</v>
      </c>
      <c r="F33" s="605"/>
      <c r="G33" s="577" t="s">
        <v>247</v>
      </c>
      <c r="H33" s="628" t="s">
        <v>118</v>
      </c>
      <c r="I33" s="605"/>
      <c r="J33" s="617" t="s">
        <v>61</v>
      </c>
    </row>
    <row r="34" ht="7.5" customHeight="1">
      <c r="A34" s="528"/>
      <c r="B34" s="529"/>
      <c r="C34" s="620"/>
      <c r="D34" s="620"/>
      <c r="E34" s="451"/>
      <c r="F34" s="531"/>
      <c r="G34" s="529"/>
      <c r="H34" s="531"/>
      <c r="I34" s="531"/>
      <c r="J34" s="531"/>
    </row>
    <row r="35" ht="17.25" customHeight="1">
      <c r="A35" s="575" t="s">
        <v>351</v>
      </c>
      <c r="B35" s="577" t="s">
        <v>983</v>
      </c>
      <c r="C35" s="642" t="s">
        <v>375</v>
      </c>
      <c r="D35" s="642" t="s">
        <v>244</v>
      </c>
      <c r="E35" s="623" t="str">
        <f>HYPERLINK("https://www.reddit.com/r/RMTK/comments/djsok4/db0026_debat_over_de_vaccinatiegraad/","Debat over de vaccinatiegraad")</f>
        <v>Debat over de vaccinatiegraad</v>
      </c>
      <c r="F35" s="605"/>
      <c r="G35" s="577" t="s">
        <v>373</v>
      </c>
      <c r="H35" s="628" t="s">
        <v>118</v>
      </c>
      <c r="I35" s="605"/>
      <c r="J35" s="617" t="s">
        <v>61</v>
      </c>
    </row>
    <row r="36" ht="17.25" customHeight="1">
      <c r="B36" s="577" t="s">
        <v>984</v>
      </c>
      <c r="C36" s="643" t="s">
        <v>36</v>
      </c>
      <c r="D36" s="643" t="s">
        <v>176</v>
      </c>
      <c r="E36" s="623" t="str">
        <f>HYPERLINK("https://www.reddit.com/r/RMTK/comments/dq9eeb/db0027_debat_na_berichtgeving_nationale_ombudsman/","Debat na berichtgeving nationale ombudsman rondom de kloof tussen overheid en burger")</f>
        <v>Debat na berichtgeving nationale ombudsman rondom de kloof tussen overheid en burger</v>
      </c>
      <c r="F36" s="605"/>
      <c r="G36" s="577" t="s">
        <v>358</v>
      </c>
      <c r="H36" s="617" t="s">
        <v>118</v>
      </c>
      <c r="I36" s="605"/>
      <c r="J36" s="617" t="s">
        <v>61</v>
      </c>
    </row>
    <row r="37" ht="17.25" customHeight="1">
      <c r="B37" s="577" t="s">
        <v>985</v>
      </c>
      <c r="C37" s="643" t="s">
        <v>36</v>
      </c>
      <c r="D37" s="643" t="s">
        <v>176</v>
      </c>
      <c r="E37" s="623" t="str">
        <f>HYPERLINK("https://www.reddit.com/r/RMTK/comments/dwt0aa/db0028_debat_na_aanleiding_terroristische_aanslag/","Debat na aanleiding terroristische aanslag op het Binnenhof door radicale Friese separatisten")</f>
        <v>Debat na aanleiding terroristische aanslag op het Binnenhof door radicale Friese separatisten</v>
      </c>
      <c r="F37" s="605"/>
      <c r="G37" s="577" t="s">
        <v>353</v>
      </c>
      <c r="H37" s="617" t="s">
        <v>118</v>
      </c>
      <c r="I37" s="605"/>
      <c r="J37" s="617" t="s">
        <v>61</v>
      </c>
    </row>
    <row r="38" ht="17.25" customHeight="1">
      <c r="B38" s="577" t="s">
        <v>986</v>
      </c>
      <c r="C38" s="642" t="s">
        <v>375</v>
      </c>
      <c r="D38" s="642" t="s">
        <v>206</v>
      </c>
      <c r="E38" s="623" t="str">
        <f>hyperlink("https://www.reddit.com/r/RMTK/comments/dzzhd4/db0029_debat_omtrent_de_aanpak_van_racisme_in/","Debat omtrent de aanpak van racisme in Nederland")</f>
        <v>Debat omtrent de aanpak van racisme in Nederland</v>
      </c>
      <c r="F38" s="605"/>
      <c r="G38" s="577" t="s">
        <v>358</v>
      </c>
      <c r="H38" s="617" t="s">
        <v>118</v>
      </c>
      <c r="I38" s="605"/>
      <c r="J38" s="617" t="s">
        <v>61</v>
      </c>
    </row>
    <row r="39">
      <c r="B39" s="577" t="s">
        <v>987</v>
      </c>
      <c r="C39" s="643" t="s">
        <v>36</v>
      </c>
      <c r="D39" s="643" t="s">
        <v>101</v>
      </c>
      <c r="E39" s="640" t="str">
        <f>HYPERLINK("https://www.reddit.com/r/RMTK/comments/e3eh0w/db0030_debat_over_de_poging_tot_lynchpartij_in/","Debat over de poging tot lynchpartij in Gorinchem")</f>
        <v>Debat over de poging tot lynchpartij in Gorinchem</v>
      </c>
      <c r="F39" s="605"/>
      <c r="G39" s="577" t="s">
        <v>358</v>
      </c>
      <c r="H39" s="617" t="s">
        <v>118</v>
      </c>
      <c r="I39" s="605"/>
      <c r="J39" s="617" t="s">
        <v>61</v>
      </c>
    </row>
    <row r="40" ht="7.5" customHeight="1">
      <c r="A40" s="528"/>
      <c r="B40" s="529"/>
      <c r="C40" s="620"/>
      <c r="D40" s="620"/>
      <c r="E40" s="451"/>
      <c r="F40" s="531"/>
      <c r="G40" s="529"/>
      <c r="H40" s="531"/>
      <c r="I40" s="644"/>
      <c r="J40" s="531"/>
    </row>
    <row r="41" ht="17.25" customHeight="1">
      <c r="A41" s="575" t="s">
        <v>380</v>
      </c>
      <c r="B41" s="577" t="s">
        <v>988</v>
      </c>
      <c r="C41" s="643" t="s">
        <v>36</v>
      </c>
      <c r="D41" s="643" t="s">
        <v>176</v>
      </c>
      <c r="E41" s="623" t="str">
        <f>HYPERLINK("https://www.reddit.com/r/RMTK/comments/e7emxu/db0031_debat_aangaande_heroverwegen_toestaan_van/","Debat aangaande heroverwegen toestaan van pulsvisserij")</f>
        <v>Debat aangaande heroverwegen toestaan van pulsvisserij</v>
      </c>
      <c r="F41" s="605"/>
      <c r="G41" s="577" t="s">
        <v>376</v>
      </c>
      <c r="H41" s="577" t="s">
        <v>180</v>
      </c>
      <c r="I41" s="605"/>
      <c r="J41" s="617" t="s">
        <v>61</v>
      </c>
    </row>
    <row r="42" ht="17.25" customHeight="1">
      <c r="B42" s="624" t="s">
        <v>989</v>
      </c>
      <c r="C42" s="634" t="s">
        <v>589</v>
      </c>
      <c r="D42" s="634" t="s">
        <v>16</v>
      </c>
      <c r="E42" s="635" t="str">
        <f>HYPERLINK("https://www.reddit.com/r/RMTK/comments/e7m5ms/ks0045_nota_aangaande_verantwoordingsdag/","Nota aangaande Verantwoordingsdag Begrotingsjaar II")</f>
        <v>Nota aangaande Verantwoordingsdag Begrotingsjaar II</v>
      </c>
      <c r="F42" s="636"/>
      <c r="G42" s="637" t="s">
        <v>218</v>
      </c>
      <c r="H42" s="638" t="s">
        <v>118</v>
      </c>
      <c r="I42" s="636"/>
      <c r="J42" s="639" t="s">
        <v>61</v>
      </c>
    </row>
    <row r="43" ht="17.25" customHeight="1">
      <c r="B43" s="577" t="s">
        <v>990</v>
      </c>
      <c r="C43" s="641" t="s">
        <v>214</v>
      </c>
      <c r="D43" s="641" t="s">
        <v>97</v>
      </c>
      <c r="E43" s="645" t="str">
        <f>HYPERLINK("https://www.reddit.com/r/RMTK/comments/eccua0/db0032_debat_aangaande_klimaatstaking_fridays_for/","Debat aangaande klimaatstaking Fridays For Future Nederland")</f>
        <v>Debat aangaande klimaatstaking Fridays For Future Nederland</v>
      </c>
      <c r="F43" s="605"/>
      <c r="G43" s="577" t="s">
        <v>376</v>
      </c>
      <c r="H43" s="617" t="s">
        <v>118</v>
      </c>
      <c r="I43" s="605"/>
      <c r="J43" s="617" t="s">
        <v>61</v>
      </c>
    </row>
    <row r="44" ht="17.25" customHeight="1">
      <c r="B44" s="577" t="s">
        <v>991</v>
      </c>
      <c r="C44" s="642" t="s">
        <v>375</v>
      </c>
      <c r="D44" s="642" t="s">
        <v>16</v>
      </c>
      <c r="E44" s="623" t="str">
        <f>HYPERLINK("https://www.reddit.com/r/RMTK/comments/eunlle/db0033_debat_aangaande_het_recente_asielverzoek/","Debat aangaande het recente asielverzoek aan de IND")</f>
        <v>Debat aangaande het recente asielverzoek aan de IND</v>
      </c>
      <c r="F44" s="605"/>
      <c r="G44" s="577" t="s">
        <v>358</v>
      </c>
      <c r="H44" s="577" t="s">
        <v>180</v>
      </c>
      <c r="I44" s="605"/>
      <c r="J44" s="617" t="s">
        <v>61</v>
      </c>
    </row>
    <row r="45" ht="17.25" customHeight="1">
      <c r="B45" s="624" t="s">
        <v>992</v>
      </c>
      <c r="C45" s="646" t="s">
        <v>589</v>
      </c>
      <c r="D45" s="647" t="s">
        <v>16</v>
      </c>
      <c r="E45" s="635" t="str">
        <f>HYPERLINK("https://www.reddit.com/r/RMTK/comments/fekuru/ks0051_nota_aangaande_verantwoordingsdag/","Nota aangaande Verantwoordingsdag begrotingsjaar 3")</f>
        <v>Nota aangaande Verantwoordingsdag begrotingsjaar 3</v>
      </c>
      <c r="F45" s="636"/>
      <c r="G45" s="637" t="s">
        <v>218</v>
      </c>
      <c r="H45" s="638" t="s">
        <v>118</v>
      </c>
      <c r="I45" s="636"/>
      <c r="J45" s="639" t="s">
        <v>61</v>
      </c>
    </row>
    <row r="46" ht="7.5" customHeight="1">
      <c r="A46" s="528"/>
      <c r="B46" s="529"/>
      <c r="C46" s="620"/>
      <c r="D46" s="620"/>
      <c r="E46" s="451"/>
      <c r="F46" s="531"/>
      <c r="G46" s="529"/>
      <c r="H46" s="531"/>
      <c r="I46" s="531"/>
      <c r="J46" s="531"/>
    </row>
    <row r="47" ht="17.25" customHeight="1">
      <c r="A47" s="575" t="s">
        <v>402</v>
      </c>
      <c r="B47" s="577" t="s">
        <v>993</v>
      </c>
      <c r="C47" s="643" t="s">
        <v>36</v>
      </c>
      <c r="D47" s="643" t="s">
        <v>102</v>
      </c>
      <c r="E47" s="648" t="s">
        <v>994</v>
      </c>
      <c r="F47" s="605"/>
      <c r="G47" s="624" t="s">
        <v>995</v>
      </c>
      <c r="H47" s="617" t="s">
        <v>267</v>
      </c>
      <c r="I47" s="605"/>
      <c r="J47" s="617" t="s">
        <v>61</v>
      </c>
    </row>
    <row r="48" ht="17.25" customHeight="1">
      <c r="B48" s="624" t="s">
        <v>996</v>
      </c>
      <c r="C48" s="634" t="s">
        <v>589</v>
      </c>
      <c r="D48" s="627" t="s">
        <v>182</v>
      </c>
      <c r="E48" s="649" t="s">
        <v>889</v>
      </c>
      <c r="F48" s="636"/>
      <c r="G48" s="637" t="s">
        <v>218</v>
      </c>
      <c r="H48" s="638" t="s">
        <v>118</v>
      </c>
      <c r="I48" s="636"/>
      <c r="J48" s="617" t="s">
        <v>61</v>
      </c>
    </row>
    <row r="49" ht="17.25" customHeight="1">
      <c r="B49" s="577" t="s">
        <v>997</v>
      </c>
      <c r="C49" s="650" t="s">
        <v>24</v>
      </c>
      <c r="D49" s="650" t="s">
        <v>25</v>
      </c>
      <c r="E49" s="447" t="s">
        <v>998</v>
      </c>
      <c r="F49" s="605"/>
      <c r="G49" s="577" t="s">
        <v>385</v>
      </c>
      <c r="H49" s="617" t="s">
        <v>118</v>
      </c>
      <c r="I49" s="605"/>
      <c r="J49" s="617" t="s">
        <v>61</v>
      </c>
    </row>
    <row r="50" ht="17.25" customHeight="1">
      <c r="B50" s="577" t="s">
        <v>999</v>
      </c>
      <c r="C50" s="651" t="s">
        <v>47</v>
      </c>
      <c r="D50" s="651" t="s">
        <v>48</v>
      </c>
      <c r="E50" s="623" t="str">
        <f>HYPERLINK("https://www.reddit.com/r/RMTK/comments/hil80b/kv0003_kamervragen_over_de_aanpak_van_criminele/","Kamervragen over de aanpak van criminele motorbendes")</f>
        <v>Kamervragen over de aanpak van criminele motorbendes</v>
      </c>
      <c r="F50" s="605"/>
      <c r="G50" s="577" t="s">
        <v>358</v>
      </c>
      <c r="H50" s="617" t="s">
        <v>267</v>
      </c>
      <c r="I50" s="605"/>
      <c r="J50" s="617" t="s">
        <v>61</v>
      </c>
    </row>
    <row r="51" ht="17.25" customHeight="1">
      <c r="B51" s="577" t="s">
        <v>1000</v>
      </c>
      <c r="C51" s="652" t="s">
        <v>115</v>
      </c>
      <c r="D51" s="652" t="s">
        <v>116</v>
      </c>
      <c r="E51" s="447" t="s">
        <v>1001</v>
      </c>
      <c r="F51" s="605"/>
      <c r="G51" s="577" t="s">
        <v>173</v>
      </c>
      <c r="H51" s="617" t="s">
        <v>267</v>
      </c>
      <c r="I51" s="605"/>
      <c r="J51" s="617" t="s">
        <v>61</v>
      </c>
    </row>
    <row r="52" ht="17.25" customHeight="1">
      <c r="B52" s="577" t="s">
        <v>1002</v>
      </c>
      <c r="C52" s="650" t="s">
        <v>24</v>
      </c>
      <c r="D52" s="650" t="s">
        <v>106</v>
      </c>
      <c r="E52" s="447" t="s">
        <v>1003</v>
      </c>
      <c r="F52" s="605"/>
      <c r="G52" s="577" t="s">
        <v>358</v>
      </c>
      <c r="H52" s="653" t="s">
        <v>267</v>
      </c>
      <c r="I52" s="605"/>
      <c r="J52" s="617" t="s">
        <v>61</v>
      </c>
    </row>
    <row r="53" ht="17.25" customHeight="1">
      <c r="B53" s="577" t="s">
        <v>1004</v>
      </c>
      <c r="C53" s="430" t="s">
        <v>15</v>
      </c>
      <c r="D53" s="430" t="s">
        <v>555</v>
      </c>
      <c r="E53" s="447" t="s">
        <v>1005</v>
      </c>
      <c r="F53" s="605"/>
      <c r="G53" s="577" t="s">
        <v>218</v>
      </c>
      <c r="H53" s="617" t="s">
        <v>267</v>
      </c>
      <c r="I53" s="605"/>
      <c r="J53" s="617" t="s">
        <v>61</v>
      </c>
    </row>
    <row r="54" ht="17.25" customHeight="1">
      <c r="B54" s="577" t="s">
        <v>1006</v>
      </c>
      <c r="C54" s="430" t="s">
        <v>15</v>
      </c>
      <c r="D54" s="430" t="s">
        <v>555</v>
      </c>
      <c r="E54" s="447" t="s">
        <v>1007</v>
      </c>
      <c r="F54" s="605"/>
      <c r="G54" s="577" t="s">
        <v>385</v>
      </c>
      <c r="H54" s="577" t="s">
        <v>180</v>
      </c>
      <c r="I54" s="605"/>
      <c r="J54" s="617" t="s">
        <v>61</v>
      </c>
    </row>
    <row r="55" ht="17.25" customHeight="1">
      <c r="B55" s="577" t="s">
        <v>1008</v>
      </c>
      <c r="C55" s="430" t="s">
        <v>15</v>
      </c>
      <c r="D55" s="430" t="s">
        <v>16</v>
      </c>
      <c r="E55" s="447" t="s">
        <v>1009</v>
      </c>
      <c r="F55" s="605"/>
      <c r="G55" s="577" t="s">
        <v>173</v>
      </c>
      <c r="H55" s="617" t="s">
        <v>118</v>
      </c>
      <c r="I55" s="605"/>
      <c r="J55" s="617" t="s">
        <v>61</v>
      </c>
    </row>
    <row r="56" ht="17.25" customHeight="1">
      <c r="B56" s="577" t="s">
        <v>1010</v>
      </c>
      <c r="C56" s="430" t="s">
        <v>15</v>
      </c>
      <c r="D56" s="430" t="s">
        <v>555</v>
      </c>
      <c r="E56" s="654" t="s">
        <v>1011</v>
      </c>
      <c r="F56" s="605"/>
      <c r="G56" s="577" t="s">
        <v>253</v>
      </c>
      <c r="H56" s="617" t="s">
        <v>118</v>
      </c>
      <c r="I56" s="605"/>
      <c r="J56" s="655" t="s">
        <v>1012</v>
      </c>
    </row>
    <row r="57" ht="7.5" customHeight="1">
      <c r="A57" s="528"/>
      <c r="B57" s="529"/>
      <c r="C57" s="620"/>
      <c r="D57" s="620"/>
      <c r="E57" s="451"/>
      <c r="F57" s="531"/>
      <c r="G57" s="529"/>
      <c r="H57" s="531"/>
      <c r="I57" s="531"/>
      <c r="J57" s="531"/>
    </row>
    <row r="58" ht="17.25" customHeight="1">
      <c r="A58" s="575" t="s">
        <v>563</v>
      </c>
      <c r="B58" s="577" t="s">
        <v>1013</v>
      </c>
      <c r="C58" s="430" t="s">
        <v>15</v>
      </c>
      <c r="D58" s="430" t="s">
        <v>94</v>
      </c>
      <c r="E58" s="447" t="s">
        <v>1014</v>
      </c>
      <c r="F58" s="605"/>
      <c r="G58" s="577" t="s">
        <v>385</v>
      </c>
      <c r="H58" s="617" t="s">
        <v>267</v>
      </c>
      <c r="I58" s="605"/>
      <c r="J58" s="578"/>
    </row>
    <row r="59" ht="17.25" customHeight="1">
      <c r="B59" s="577" t="s">
        <v>1015</v>
      </c>
      <c r="C59" s="650" t="s">
        <v>24</v>
      </c>
      <c r="D59" s="650" t="s">
        <v>106</v>
      </c>
      <c r="E59" s="447" t="s">
        <v>1016</v>
      </c>
      <c r="F59" s="605"/>
      <c r="G59" s="577" t="s">
        <v>186</v>
      </c>
      <c r="H59" s="617" t="s">
        <v>267</v>
      </c>
      <c r="I59" s="605"/>
      <c r="J59" s="578"/>
    </row>
    <row r="60" ht="17.25" customHeight="1">
      <c r="B60" s="597" t="s">
        <v>1017</v>
      </c>
      <c r="C60" s="656" t="s">
        <v>53</v>
      </c>
      <c r="D60" s="656" t="s">
        <v>1018</v>
      </c>
      <c r="E60" s="454" t="s">
        <v>1019</v>
      </c>
      <c r="F60" s="605"/>
      <c r="G60" s="597" t="s">
        <v>253</v>
      </c>
      <c r="H60" s="577" t="s">
        <v>180</v>
      </c>
      <c r="I60" s="605"/>
      <c r="J60" s="578"/>
    </row>
    <row r="61" ht="17.25" customHeight="1">
      <c r="B61" s="597" t="s">
        <v>1020</v>
      </c>
      <c r="C61" s="564" t="s">
        <v>589</v>
      </c>
      <c r="D61" s="564" t="s">
        <v>16</v>
      </c>
      <c r="E61" s="581" t="s">
        <v>907</v>
      </c>
      <c r="F61" s="605"/>
      <c r="G61" s="597" t="s">
        <v>218</v>
      </c>
      <c r="H61" s="617" t="s">
        <v>118</v>
      </c>
      <c r="I61" s="605"/>
      <c r="J61" s="578"/>
    </row>
    <row r="62" ht="17.25" customHeight="1">
      <c r="A62" s="657"/>
      <c r="B62" s="658"/>
      <c r="C62" s="659"/>
      <c r="D62" s="659"/>
      <c r="E62" s="660"/>
      <c r="F62" s="605"/>
      <c r="G62" s="658"/>
      <c r="H62" s="578"/>
      <c r="I62" s="605"/>
      <c r="J62" s="578"/>
    </row>
    <row r="63" ht="17.25" customHeight="1">
      <c r="A63" s="657"/>
      <c r="B63" s="658"/>
      <c r="C63" s="659"/>
      <c r="D63" s="659"/>
      <c r="E63" s="660"/>
      <c r="F63" s="605"/>
      <c r="G63" s="658"/>
      <c r="H63" s="578"/>
      <c r="I63" s="605"/>
      <c r="J63" s="578"/>
    </row>
    <row r="64" ht="17.25" customHeight="1">
      <c r="A64" s="657"/>
      <c r="B64" s="658"/>
      <c r="C64" s="659"/>
      <c r="D64" s="659"/>
      <c r="E64" s="660"/>
      <c r="F64" s="605"/>
      <c r="G64" s="658"/>
      <c r="H64" s="578"/>
      <c r="I64" s="605"/>
      <c r="J64" s="578"/>
    </row>
    <row r="65" ht="17.25" customHeight="1">
      <c r="A65" s="657"/>
      <c r="B65" s="658"/>
      <c r="C65" s="659"/>
      <c r="D65" s="659"/>
      <c r="E65" s="660"/>
      <c r="F65" s="605"/>
      <c r="G65" s="658"/>
      <c r="H65" s="578"/>
      <c r="I65" s="605"/>
      <c r="J65" s="578"/>
    </row>
    <row r="66" ht="17.25" customHeight="1">
      <c r="A66" s="657"/>
      <c r="B66" s="658"/>
      <c r="C66" s="659"/>
      <c r="D66" s="659"/>
      <c r="E66" s="660"/>
      <c r="F66" s="605"/>
      <c r="G66" s="658"/>
      <c r="H66" s="578"/>
      <c r="I66" s="605"/>
      <c r="J66" s="578"/>
    </row>
    <row r="67" ht="17.25" customHeight="1">
      <c r="A67" s="657"/>
      <c r="B67" s="658"/>
      <c r="C67" s="659"/>
      <c r="D67" s="659"/>
      <c r="E67" s="660"/>
      <c r="F67" s="605"/>
      <c r="G67" s="658"/>
      <c r="H67" s="578"/>
      <c r="I67" s="605"/>
      <c r="J67" s="578"/>
    </row>
    <row r="68" ht="17.25" customHeight="1">
      <c r="A68" s="578"/>
      <c r="B68" s="658"/>
      <c r="C68" s="659"/>
      <c r="D68" s="659"/>
      <c r="E68" s="660"/>
      <c r="F68" s="605"/>
      <c r="G68" s="658"/>
      <c r="H68" s="578"/>
      <c r="I68" s="605"/>
      <c r="J68" s="578"/>
    </row>
    <row r="69" ht="17.25" customHeight="1">
      <c r="A69" s="578"/>
      <c r="B69" s="658"/>
      <c r="C69" s="659"/>
      <c r="D69" s="659"/>
      <c r="E69" s="660"/>
      <c r="F69" s="605"/>
      <c r="G69" s="658"/>
      <c r="H69" s="578"/>
      <c r="I69" s="605"/>
      <c r="J69" s="578"/>
    </row>
    <row r="70" ht="17.25" customHeight="1">
      <c r="A70" s="578"/>
      <c r="B70" s="658"/>
      <c r="C70" s="659"/>
      <c r="D70" s="659"/>
      <c r="E70" s="660"/>
      <c r="F70" s="605"/>
      <c r="G70" s="658"/>
      <c r="H70" s="578"/>
      <c r="I70" s="605"/>
      <c r="J70" s="578"/>
    </row>
    <row r="71" ht="17.25" customHeight="1">
      <c r="A71" s="578"/>
      <c r="B71" s="658"/>
      <c r="C71" s="659"/>
      <c r="D71" s="659"/>
      <c r="E71" s="660"/>
      <c r="F71" s="605"/>
      <c r="G71" s="658"/>
      <c r="H71" s="578"/>
      <c r="I71" s="605"/>
      <c r="J71" s="578"/>
    </row>
    <row r="72" ht="17.25" customHeight="1">
      <c r="A72" s="578"/>
      <c r="B72" s="658"/>
      <c r="C72" s="659"/>
      <c r="D72" s="659"/>
      <c r="E72" s="660"/>
      <c r="F72" s="605"/>
      <c r="G72" s="658"/>
      <c r="H72" s="578"/>
      <c r="I72" s="605"/>
      <c r="J72" s="578"/>
    </row>
    <row r="73" ht="17.25" customHeight="1">
      <c r="A73" s="578"/>
      <c r="B73" s="658"/>
      <c r="C73" s="659"/>
      <c r="D73" s="659"/>
      <c r="E73" s="660"/>
      <c r="F73" s="605"/>
      <c r="G73" s="658"/>
      <c r="H73" s="578"/>
      <c r="I73" s="605"/>
      <c r="J73" s="578"/>
    </row>
    <row r="74" ht="17.25" customHeight="1">
      <c r="A74" s="578"/>
      <c r="B74" s="658"/>
      <c r="C74" s="659"/>
      <c r="D74" s="659"/>
      <c r="E74" s="660"/>
      <c r="F74" s="605"/>
      <c r="G74" s="658"/>
      <c r="H74" s="578"/>
      <c r="I74" s="605"/>
      <c r="J74" s="578"/>
    </row>
    <row r="75" ht="17.25" customHeight="1">
      <c r="A75" s="578"/>
      <c r="B75" s="658"/>
      <c r="C75" s="659"/>
      <c r="D75" s="659"/>
      <c r="E75" s="660"/>
      <c r="F75" s="605"/>
      <c r="G75" s="658"/>
      <c r="H75" s="578"/>
      <c r="I75" s="605"/>
      <c r="J75" s="578"/>
    </row>
    <row r="76" ht="17.25" customHeight="1">
      <c r="A76" s="578"/>
      <c r="B76" s="658"/>
      <c r="C76" s="659"/>
      <c r="D76" s="659"/>
      <c r="E76" s="660"/>
      <c r="F76" s="605"/>
      <c r="G76" s="658"/>
      <c r="H76" s="578"/>
      <c r="I76" s="605"/>
      <c r="J76" s="578"/>
    </row>
    <row r="77" ht="17.25" customHeight="1">
      <c r="A77" s="578"/>
      <c r="B77" s="658"/>
      <c r="C77" s="659"/>
      <c r="D77" s="659"/>
      <c r="E77" s="660"/>
      <c r="F77" s="605"/>
      <c r="G77" s="658"/>
      <c r="H77" s="578"/>
      <c r="I77" s="605"/>
      <c r="J77" s="578"/>
    </row>
    <row r="78" ht="17.25" customHeight="1">
      <c r="A78" s="578"/>
      <c r="B78" s="658"/>
      <c r="C78" s="659"/>
      <c r="D78" s="659"/>
      <c r="E78" s="660"/>
      <c r="F78" s="605"/>
      <c r="G78" s="658"/>
      <c r="H78" s="578"/>
      <c r="I78" s="605"/>
      <c r="J78" s="578"/>
    </row>
    <row r="79" ht="17.25" customHeight="1">
      <c r="A79" s="578"/>
      <c r="B79" s="658"/>
      <c r="C79" s="659"/>
      <c r="D79" s="659"/>
      <c r="E79" s="660"/>
      <c r="F79" s="605"/>
      <c r="G79" s="658"/>
      <c r="H79" s="578"/>
      <c r="I79" s="605"/>
      <c r="J79" s="578"/>
    </row>
    <row r="80" ht="17.25" customHeight="1">
      <c r="A80" s="578"/>
      <c r="B80" s="658"/>
      <c r="C80" s="659"/>
      <c r="D80" s="659"/>
      <c r="E80" s="660"/>
      <c r="F80" s="605"/>
      <c r="G80" s="658"/>
      <c r="H80" s="578"/>
      <c r="I80" s="605"/>
      <c r="J80" s="578"/>
    </row>
    <row r="81" ht="17.25" customHeight="1">
      <c r="A81" s="578"/>
      <c r="B81" s="658"/>
      <c r="C81" s="659"/>
      <c r="D81" s="659"/>
      <c r="E81" s="660"/>
      <c r="F81" s="605"/>
      <c r="G81" s="658"/>
      <c r="H81" s="578"/>
      <c r="I81" s="605"/>
      <c r="J81" s="578"/>
    </row>
    <row r="82" ht="17.25" customHeight="1">
      <c r="A82" s="578"/>
      <c r="B82" s="658"/>
      <c r="C82" s="659"/>
      <c r="D82" s="659"/>
      <c r="E82" s="660"/>
      <c r="F82" s="605"/>
      <c r="G82" s="658"/>
      <c r="H82" s="578"/>
      <c r="I82" s="605"/>
      <c r="J82" s="578"/>
    </row>
    <row r="83" ht="17.25" customHeight="1">
      <c r="A83" s="578"/>
      <c r="B83" s="658"/>
      <c r="C83" s="659"/>
      <c r="D83" s="659"/>
      <c r="E83" s="660"/>
      <c r="F83" s="605"/>
      <c r="G83" s="658"/>
      <c r="H83" s="578"/>
      <c r="I83" s="605"/>
      <c r="J83" s="578"/>
    </row>
    <row r="84" ht="17.25" customHeight="1">
      <c r="A84" s="578"/>
      <c r="B84" s="658"/>
      <c r="C84" s="659"/>
      <c r="D84" s="659"/>
      <c r="E84" s="660"/>
      <c r="F84" s="605"/>
      <c r="G84" s="658"/>
      <c r="H84" s="578"/>
      <c r="I84" s="605"/>
      <c r="J84" s="578"/>
    </row>
    <row r="85" ht="17.25" customHeight="1">
      <c r="A85" s="578"/>
      <c r="B85" s="658"/>
      <c r="C85" s="659"/>
      <c r="D85" s="659"/>
      <c r="E85" s="660"/>
      <c r="F85" s="605"/>
      <c r="G85" s="658"/>
      <c r="H85" s="578"/>
      <c r="I85" s="605"/>
      <c r="J85" s="578"/>
    </row>
    <row r="86" ht="17.25" customHeight="1">
      <c r="A86" s="578"/>
      <c r="B86" s="658"/>
      <c r="C86" s="659"/>
      <c r="D86" s="659"/>
      <c r="E86" s="660"/>
      <c r="F86" s="605"/>
      <c r="G86" s="658"/>
      <c r="H86" s="578"/>
      <c r="I86" s="605"/>
      <c r="J86" s="578"/>
    </row>
    <row r="87" ht="17.25" customHeight="1">
      <c r="A87" s="578"/>
      <c r="B87" s="658"/>
      <c r="C87" s="659"/>
      <c r="D87" s="659"/>
      <c r="E87" s="660"/>
      <c r="F87" s="605"/>
      <c r="G87" s="658"/>
      <c r="H87" s="578"/>
      <c r="I87" s="605"/>
      <c r="J87" s="578"/>
    </row>
    <row r="88" ht="17.25" customHeight="1">
      <c r="A88" s="578"/>
      <c r="B88" s="658"/>
      <c r="C88" s="659"/>
      <c r="D88" s="659"/>
      <c r="E88" s="660"/>
      <c r="F88" s="605"/>
      <c r="G88" s="658"/>
      <c r="H88" s="578"/>
      <c r="I88" s="605"/>
      <c r="J88" s="578"/>
    </row>
    <row r="89" ht="17.25" customHeight="1">
      <c r="A89" s="578"/>
      <c r="B89" s="658"/>
      <c r="C89" s="659"/>
      <c r="D89" s="659"/>
      <c r="E89" s="660"/>
      <c r="F89" s="605"/>
      <c r="G89" s="658"/>
      <c r="H89" s="578"/>
      <c r="I89" s="605"/>
      <c r="J89" s="578"/>
    </row>
    <row r="90" ht="17.25" customHeight="1">
      <c r="A90" s="578"/>
      <c r="B90" s="658"/>
      <c r="C90" s="659"/>
      <c r="D90" s="659"/>
      <c r="E90" s="660"/>
      <c r="F90" s="605"/>
      <c r="G90" s="658"/>
      <c r="H90" s="578"/>
      <c r="I90" s="605"/>
      <c r="J90" s="578"/>
    </row>
    <row r="91" ht="17.25" customHeight="1">
      <c r="A91" s="578"/>
      <c r="B91" s="658"/>
      <c r="C91" s="659"/>
      <c r="D91" s="659"/>
      <c r="E91" s="660"/>
      <c r="F91" s="605"/>
      <c r="G91" s="658"/>
      <c r="H91" s="578"/>
      <c r="I91" s="605"/>
      <c r="J91" s="578"/>
    </row>
    <row r="92" ht="17.25" customHeight="1">
      <c r="A92" s="578"/>
      <c r="B92" s="658"/>
      <c r="C92" s="659"/>
      <c r="D92" s="659"/>
      <c r="E92" s="660"/>
      <c r="F92" s="605"/>
      <c r="G92" s="658"/>
      <c r="H92" s="578"/>
      <c r="I92" s="605"/>
      <c r="J92" s="578"/>
    </row>
    <row r="93" ht="17.25" customHeight="1">
      <c r="A93" s="578"/>
      <c r="B93" s="658"/>
      <c r="C93" s="659"/>
      <c r="D93" s="659"/>
      <c r="E93" s="660"/>
      <c r="F93" s="605"/>
      <c r="G93" s="658"/>
      <c r="H93" s="578"/>
      <c r="I93" s="605"/>
      <c r="J93" s="578"/>
    </row>
    <row r="94" ht="17.25" customHeight="1">
      <c r="A94" s="578"/>
      <c r="B94" s="658"/>
      <c r="C94" s="659"/>
      <c r="D94" s="659"/>
      <c r="E94" s="660"/>
      <c r="F94" s="605"/>
      <c r="G94" s="658"/>
      <c r="H94" s="578"/>
      <c r="I94" s="605"/>
      <c r="J94" s="578"/>
    </row>
    <row r="95" ht="17.25" customHeight="1">
      <c r="A95" s="578"/>
      <c r="B95" s="658"/>
      <c r="C95" s="659"/>
      <c r="D95" s="659"/>
      <c r="E95" s="660"/>
      <c r="F95" s="605"/>
      <c r="G95" s="658"/>
      <c r="H95" s="578"/>
      <c r="I95" s="605"/>
      <c r="J95" s="578"/>
    </row>
    <row r="96" ht="17.25" customHeight="1">
      <c r="A96" s="578"/>
      <c r="B96" s="658"/>
      <c r="C96" s="659"/>
      <c r="D96" s="659"/>
      <c r="E96" s="660"/>
      <c r="F96" s="605"/>
      <c r="G96" s="658"/>
      <c r="H96" s="578"/>
      <c r="I96" s="605"/>
      <c r="J96" s="578"/>
    </row>
    <row r="97" ht="17.25" customHeight="1">
      <c r="A97" s="578"/>
      <c r="B97" s="658"/>
      <c r="C97" s="659"/>
      <c r="D97" s="659"/>
      <c r="E97" s="660"/>
      <c r="F97" s="605"/>
      <c r="G97" s="658"/>
      <c r="H97" s="578"/>
      <c r="I97" s="605"/>
      <c r="J97" s="578"/>
    </row>
    <row r="98" ht="17.25" customHeight="1">
      <c r="A98" s="578"/>
      <c r="B98" s="658"/>
      <c r="C98" s="659"/>
      <c r="D98" s="659"/>
      <c r="E98" s="660"/>
      <c r="F98" s="605"/>
      <c r="G98" s="658"/>
      <c r="H98" s="578"/>
      <c r="I98" s="605"/>
      <c r="J98" s="578"/>
    </row>
    <row r="99" ht="17.25" customHeight="1">
      <c r="A99" s="578"/>
      <c r="B99" s="658"/>
      <c r="C99" s="659"/>
      <c r="D99" s="659"/>
      <c r="E99" s="660"/>
      <c r="F99" s="605"/>
      <c r="G99" s="658"/>
      <c r="H99" s="578"/>
      <c r="I99" s="605"/>
      <c r="J99" s="578"/>
    </row>
    <row r="100" ht="17.25" customHeight="1">
      <c r="A100" s="578"/>
      <c r="B100" s="658"/>
      <c r="C100" s="659"/>
      <c r="D100" s="659"/>
      <c r="E100" s="660"/>
      <c r="F100" s="605"/>
      <c r="G100" s="658"/>
      <c r="H100" s="578"/>
      <c r="I100" s="605"/>
      <c r="J100" s="578"/>
    </row>
    <row r="101" ht="17.25" customHeight="1">
      <c r="A101" s="578"/>
      <c r="B101" s="658"/>
      <c r="C101" s="659"/>
      <c r="D101" s="659"/>
      <c r="E101" s="660"/>
      <c r="F101" s="605"/>
      <c r="G101" s="658"/>
      <c r="H101" s="578"/>
      <c r="I101" s="605"/>
      <c r="J101" s="578"/>
    </row>
    <row r="102" ht="17.25" customHeight="1">
      <c r="A102" s="578"/>
      <c r="B102" s="658"/>
      <c r="C102" s="659"/>
      <c r="D102" s="659"/>
      <c r="E102" s="660"/>
      <c r="F102" s="605"/>
      <c r="G102" s="658"/>
      <c r="H102" s="578"/>
      <c r="I102" s="605"/>
      <c r="J102" s="578"/>
    </row>
    <row r="103" ht="17.25" customHeight="1">
      <c r="A103" s="578"/>
      <c r="B103" s="658"/>
      <c r="C103" s="659"/>
      <c r="D103" s="659"/>
      <c r="E103" s="660"/>
      <c r="F103" s="605"/>
      <c r="G103" s="658"/>
      <c r="H103" s="578"/>
      <c r="I103" s="605"/>
      <c r="J103" s="578"/>
    </row>
    <row r="104" ht="17.25" customHeight="1">
      <c r="A104" s="578"/>
      <c r="B104" s="658"/>
      <c r="C104" s="659"/>
      <c r="D104" s="659"/>
      <c r="E104" s="660"/>
      <c r="F104" s="605"/>
      <c r="G104" s="658"/>
      <c r="H104" s="578"/>
      <c r="I104" s="605"/>
      <c r="J104" s="578"/>
    </row>
    <row r="105" ht="17.25" customHeight="1">
      <c r="A105" s="578"/>
      <c r="B105" s="658"/>
      <c r="C105" s="659"/>
      <c r="D105" s="659"/>
      <c r="E105" s="660"/>
      <c r="F105" s="605"/>
      <c r="G105" s="658"/>
      <c r="H105" s="578"/>
      <c r="I105" s="605"/>
      <c r="J105" s="578"/>
    </row>
    <row r="106" ht="17.25" customHeight="1">
      <c r="A106" s="578"/>
      <c r="B106" s="658"/>
      <c r="C106" s="659"/>
      <c r="D106" s="659"/>
      <c r="E106" s="660"/>
      <c r="F106" s="605"/>
      <c r="G106" s="658"/>
      <c r="H106" s="578"/>
      <c r="I106" s="605"/>
      <c r="J106" s="578"/>
    </row>
    <row r="107" ht="17.25" customHeight="1">
      <c r="A107" s="578"/>
      <c r="B107" s="658"/>
      <c r="C107" s="659"/>
      <c r="D107" s="659"/>
      <c r="E107" s="660"/>
      <c r="F107" s="605"/>
      <c r="G107" s="658"/>
      <c r="H107" s="578"/>
      <c r="I107" s="605"/>
      <c r="J107" s="578"/>
    </row>
    <row r="108" ht="17.25" customHeight="1">
      <c r="A108" s="578"/>
      <c r="B108" s="658"/>
      <c r="C108" s="659"/>
      <c r="D108" s="659"/>
      <c r="E108" s="660"/>
      <c r="F108" s="605"/>
      <c r="G108" s="658"/>
      <c r="H108" s="578"/>
      <c r="I108" s="605"/>
      <c r="J108" s="578"/>
    </row>
    <row r="109" ht="17.25" customHeight="1">
      <c r="A109" s="578"/>
      <c r="B109" s="658"/>
      <c r="C109" s="659"/>
      <c r="D109" s="659"/>
      <c r="E109" s="660"/>
      <c r="F109" s="605"/>
      <c r="G109" s="658"/>
      <c r="H109" s="578"/>
      <c r="I109" s="605"/>
      <c r="J109" s="578"/>
    </row>
    <row r="110" ht="17.25" customHeight="1">
      <c r="A110" s="578"/>
      <c r="B110" s="658"/>
      <c r="C110" s="659"/>
      <c r="D110" s="659"/>
      <c r="E110" s="660"/>
      <c r="F110" s="605"/>
      <c r="G110" s="658"/>
      <c r="H110" s="578"/>
      <c r="I110" s="605"/>
      <c r="J110" s="578"/>
    </row>
    <row r="111" ht="17.25" customHeight="1">
      <c r="A111" s="578"/>
      <c r="B111" s="658"/>
      <c r="C111" s="659"/>
      <c r="D111" s="659"/>
      <c r="E111" s="660"/>
      <c r="F111" s="605"/>
      <c r="G111" s="658"/>
      <c r="H111" s="578"/>
      <c r="I111" s="605"/>
      <c r="J111" s="578"/>
    </row>
    <row r="112" ht="17.25" customHeight="1">
      <c r="A112" s="578"/>
      <c r="B112" s="658"/>
      <c r="C112" s="659"/>
      <c r="D112" s="659"/>
      <c r="E112" s="660"/>
      <c r="F112" s="605"/>
      <c r="G112" s="658"/>
      <c r="H112" s="578"/>
      <c r="I112" s="605"/>
      <c r="J112" s="578"/>
    </row>
    <row r="113" ht="17.25" customHeight="1">
      <c r="A113" s="578"/>
      <c r="B113" s="658"/>
      <c r="C113" s="659"/>
      <c r="D113" s="659"/>
      <c r="E113" s="660"/>
      <c r="F113" s="605"/>
      <c r="G113" s="658"/>
      <c r="H113" s="578"/>
      <c r="I113" s="605"/>
      <c r="J113" s="578"/>
    </row>
    <row r="114" ht="17.25" customHeight="1">
      <c r="A114" s="578"/>
      <c r="B114" s="658"/>
      <c r="C114" s="659"/>
      <c r="D114" s="659"/>
      <c r="E114" s="660"/>
      <c r="F114" s="605"/>
      <c r="G114" s="658"/>
      <c r="H114" s="578"/>
      <c r="I114" s="605"/>
      <c r="J114" s="578"/>
    </row>
    <row r="115" ht="17.25" customHeight="1">
      <c r="A115" s="578"/>
      <c r="B115" s="658"/>
      <c r="C115" s="659"/>
      <c r="D115" s="659"/>
      <c r="E115" s="660"/>
      <c r="F115" s="605"/>
      <c r="G115" s="658"/>
      <c r="H115" s="578"/>
      <c r="I115" s="605"/>
      <c r="J115" s="578"/>
    </row>
    <row r="116" ht="17.25" customHeight="1">
      <c r="A116" s="578"/>
      <c r="B116" s="658"/>
      <c r="C116" s="659"/>
      <c r="D116" s="659"/>
      <c r="E116" s="660"/>
      <c r="F116" s="605"/>
      <c r="G116" s="658"/>
      <c r="H116" s="578"/>
      <c r="I116" s="605"/>
      <c r="J116" s="578"/>
    </row>
    <row r="117" ht="17.25" customHeight="1">
      <c r="A117" s="578"/>
      <c r="B117" s="658"/>
      <c r="C117" s="659"/>
      <c r="D117" s="659"/>
      <c r="E117" s="660"/>
      <c r="F117" s="605"/>
      <c r="G117" s="658"/>
      <c r="H117" s="578"/>
      <c r="I117" s="605"/>
      <c r="J117" s="578"/>
    </row>
    <row r="118" ht="17.25" customHeight="1">
      <c r="A118" s="578"/>
      <c r="B118" s="658"/>
      <c r="C118" s="659"/>
      <c r="D118" s="659"/>
      <c r="E118" s="660"/>
      <c r="F118" s="605"/>
      <c r="G118" s="658"/>
      <c r="H118" s="578"/>
      <c r="I118" s="605"/>
      <c r="J118" s="578"/>
    </row>
    <row r="119" ht="17.25" customHeight="1">
      <c r="A119" s="578"/>
      <c r="B119" s="658"/>
      <c r="C119" s="659"/>
      <c r="D119" s="659"/>
      <c r="E119" s="660"/>
      <c r="F119" s="605"/>
      <c r="G119" s="658"/>
      <c r="H119" s="578"/>
      <c r="I119" s="605"/>
      <c r="J119" s="578"/>
    </row>
    <row r="120" ht="17.25" customHeight="1">
      <c r="A120" s="578"/>
      <c r="B120" s="658"/>
      <c r="C120" s="659"/>
      <c r="D120" s="659"/>
      <c r="E120" s="660"/>
      <c r="F120" s="605"/>
      <c r="G120" s="658"/>
      <c r="H120" s="578"/>
      <c r="I120" s="605"/>
      <c r="J120" s="578"/>
    </row>
    <row r="121" ht="17.25" customHeight="1">
      <c r="A121" s="578"/>
      <c r="B121" s="658"/>
      <c r="C121" s="659"/>
      <c r="D121" s="659"/>
      <c r="E121" s="660"/>
      <c r="F121" s="605"/>
      <c r="G121" s="658"/>
      <c r="H121" s="578"/>
      <c r="I121" s="605"/>
      <c r="J121" s="578"/>
    </row>
    <row r="122" ht="17.25" customHeight="1">
      <c r="A122" s="578"/>
      <c r="B122" s="658"/>
      <c r="C122" s="659"/>
      <c r="D122" s="659"/>
      <c r="E122" s="660"/>
      <c r="F122" s="605"/>
      <c r="G122" s="658"/>
      <c r="H122" s="578"/>
      <c r="I122" s="605"/>
      <c r="J122" s="578"/>
    </row>
    <row r="123" ht="17.25" customHeight="1">
      <c r="A123" s="578"/>
      <c r="B123" s="658"/>
      <c r="C123" s="659"/>
      <c r="D123" s="659"/>
      <c r="E123" s="660"/>
      <c r="F123" s="605"/>
      <c r="G123" s="658"/>
      <c r="H123" s="578"/>
      <c r="I123" s="605"/>
      <c r="J123" s="578"/>
    </row>
    <row r="124" ht="17.25" customHeight="1">
      <c r="A124" s="578"/>
      <c r="B124" s="658"/>
      <c r="C124" s="659"/>
      <c r="D124" s="659"/>
      <c r="E124" s="660"/>
      <c r="F124" s="605"/>
      <c r="G124" s="658"/>
      <c r="H124" s="578"/>
      <c r="I124" s="605"/>
      <c r="J124" s="578"/>
    </row>
    <row r="125" ht="17.25" customHeight="1">
      <c r="A125" s="578"/>
      <c r="B125" s="658"/>
      <c r="C125" s="659"/>
      <c r="D125" s="659"/>
      <c r="E125" s="660"/>
      <c r="F125" s="605"/>
      <c r="G125" s="658"/>
      <c r="H125" s="578"/>
      <c r="I125" s="605"/>
      <c r="J125" s="578"/>
    </row>
    <row r="126" ht="17.25" customHeight="1">
      <c r="A126" s="578"/>
      <c r="B126" s="658"/>
      <c r="C126" s="659"/>
      <c r="D126" s="659"/>
      <c r="E126" s="660"/>
      <c r="F126" s="605"/>
      <c r="G126" s="658"/>
      <c r="H126" s="578"/>
      <c r="I126" s="605"/>
      <c r="J126" s="578"/>
    </row>
    <row r="127" ht="17.25" customHeight="1">
      <c r="A127" s="578"/>
      <c r="B127" s="658"/>
      <c r="C127" s="659"/>
      <c r="D127" s="659"/>
      <c r="E127" s="660"/>
      <c r="F127" s="605"/>
      <c r="G127" s="658"/>
      <c r="H127" s="578"/>
      <c r="I127" s="605"/>
      <c r="J127" s="578"/>
    </row>
    <row r="128" ht="17.25" customHeight="1">
      <c r="A128" s="578"/>
      <c r="B128" s="658"/>
      <c r="C128" s="659"/>
      <c r="D128" s="659"/>
      <c r="E128" s="660"/>
      <c r="F128" s="605"/>
      <c r="G128" s="658"/>
      <c r="H128" s="578"/>
      <c r="I128" s="605"/>
      <c r="J128" s="578"/>
    </row>
    <row r="129" ht="17.25" customHeight="1">
      <c r="A129" s="578"/>
      <c r="B129" s="658"/>
      <c r="C129" s="659"/>
      <c r="D129" s="659"/>
      <c r="E129" s="660"/>
      <c r="F129" s="605"/>
      <c r="G129" s="658"/>
      <c r="H129" s="578"/>
      <c r="I129" s="605"/>
      <c r="J129" s="578"/>
    </row>
    <row r="130" ht="17.25" customHeight="1">
      <c r="A130" s="578"/>
      <c r="B130" s="658"/>
      <c r="C130" s="659"/>
      <c r="D130" s="659"/>
      <c r="E130" s="660"/>
      <c r="F130" s="605"/>
      <c r="G130" s="658"/>
      <c r="H130" s="578"/>
      <c r="I130" s="605"/>
      <c r="J130" s="578"/>
    </row>
    <row r="131" ht="17.25" customHeight="1">
      <c r="A131" s="578"/>
      <c r="B131" s="658"/>
      <c r="C131" s="659"/>
      <c r="D131" s="659"/>
      <c r="E131" s="660"/>
      <c r="F131" s="605"/>
      <c r="G131" s="658"/>
      <c r="H131" s="578"/>
      <c r="I131" s="605"/>
      <c r="J131" s="578"/>
    </row>
    <row r="132">
      <c r="A132" s="578"/>
      <c r="B132" s="658"/>
      <c r="C132" s="659"/>
      <c r="D132" s="659"/>
      <c r="E132" s="660"/>
      <c r="F132" s="605"/>
      <c r="G132" s="658"/>
      <c r="H132" s="578"/>
      <c r="I132" s="605"/>
      <c r="J132" s="578"/>
    </row>
    <row r="133">
      <c r="A133" s="578"/>
      <c r="B133" s="658"/>
      <c r="C133" s="659"/>
      <c r="D133" s="659"/>
      <c r="E133" s="660"/>
      <c r="F133" s="605"/>
      <c r="G133" s="658"/>
      <c r="H133" s="578"/>
      <c r="I133" s="605"/>
      <c r="J133" s="578"/>
    </row>
    <row r="134">
      <c r="A134" s="578"/>
      <c r="B134" s="658"/>
      <c r="C134" s="659"/>
      <c r="D134" s="659"/>
      <c r="E134" s="660"/>
      <c r="F134" s="605"/>
      <c r="G134" s="658"/>
      <c r="H134" s="578"/>
      <c r="I134" s="605"/>
      <c r="J134" s="578"/>
    </row>
    <row r="135">
      <c r="A135" s="578"/>
      <c r="B135" s="658"/>
      <c r="C135" s="659"/>
      <c r="D135" s="659"/>
      <c r="E135" s="660"/>
      <c r="F135" s="605"/>
      <c r="G135" s="658"/>
      <c r="H135" s="578"/>
      <c r="I135" s="605"/>
      <c r="J135" s="578"/>
    </row>
    <row r="136">
      <c r="A136" s="578"/>
      <c r="B136" s="658"/>
      <c r="C136" s="659"/>
      <c r="D136" s="659"/>
      <c r="E136" s="660"/>
      <c r="F136" s="605"/>
      <c r="G136" s="658"/>
      <c r="H136" s="578"/>
      <c r="I136" s="605"/>
      <c r="J136" s="578"/>
    </row>
    <row r="137">
      <c r="A137" s="578"/>
      <c r="B137" s="658"/>
      <c r="C137" s="659"/>
      <c r="D137" s="659"/>
      <c r="E137" s="660"/>
      <c r="F137" s="605"/>
      <c r="G137" s="658"/>
      <c r="H137" s="578"/>
      <c r="I137" s="605"/>
      <c r="J137" s="578"/>
    </row>
    <row r="138">
      <c r="A138" s="578"/>
      <c r="B138" s="658"/>
      <c r="C138" s="659"/>
      <c r="D138" s="659"/>
      <c r="E138" s="660"/>
      <c r="F138" s="605"/>
      <c r="G138" s="658"/>
      <c r="H138" s="578"/>
      <c r="I138" s="605"/>
      <c r="J138" s="578"/>
    </row>
    <row r="139">
      <c r="A139" s="578"/>
      <c r="B139" s="658"/>
      <c r="C139" s="659"/>
      <c r="D139" s="659"/>
      <c r="E139" s="660"/>
      <c r="F139" s="605"/>
      <c r="G139" s="658"/>
      <c r="H139" s="578"/>
      <c r="I139" s="605"/>
      <c r="J139" s="578"/>
    </row>
    <row r="140">
      <c r="A140" s="578"/>
      <c r="B140" s="658"/>
      <c r="C140" s="659"/>
      <c r="D140" s="659"/>
      <c r="E140" s="660"/>
      <c r="F140" s="605"/>
      <c r="G140" s="658"/>
      <c r="H140" s="578"/>
      <c r="I140" s="605"/>
      <c r="J140" s="578"/>
    </row>
    <row r="141">
      <c r="A141" s="578"/>
      <c r="B141" s="658"/>
      <c r="C141" s="659"/>
      <c r="D141" s="659"/>
      <c r="E141" s="660"/>
      <c r="F141" s="605"/>
      <c r="G141" s="658"/>
      <c r="H141" s="578"/>
      <c r="I141" s="605"/>
      <c r="J141" s="578"/>
    </row>
    <row r="142">
      <c r="A142" s="578"/>
      <c r="B142" s="658"/>
      <c r="C142" s="659"/>
      <c r="D142" s="659"/>
      <c r="E142" s="660"/>
      <c r="F142" s="605"/>
      <c r="G142" s="658"/>
      <c r="H142" s="578"/>
      <c r="I142" s="605"/>
      <c r="J142" s="578"/>
    </row>
    <row r="143">
      <c r="A143" s="578"/>
      <c r="B143" s="658"/>
      <c r="C143" s="659"/>
      <c r="D143" s="659"/>
      <c r="E143" s="660"/>
      <c r="F143" s="605"/>
      <c r="G143" s="658"/>
      <c r="H143" s="578"/>
      <c r="I143" s="605"/>
      <c r="J143" s="578"/>
    </row>
    <row r="144">
      <c r="A144" s="578"/>
      <c r="B144" s="658"/>
      <c r="C144" s="659"/>
      <c r="D144" s="659"/>
      <c r="E144" s="660"/>
      <c r="F144" s="605"/>
      <c r="G144" s="658"/>
      <c r="H144" s="578"/>
      <c r="I144" s="605"/>
      <c r="J144" s="578"/>
    </row>
    <row r="145">
      <c r="A145" s="578"/>
      <c r="B145" s="658"/>
      <c r="C145" s="659"/>
      <c r="D145" s="659"/>
      <c r="E145" s="660"/>
      <c r="F145" s="605"/>
      <c r="G145" s="658"/>
      <c r="H145" s="578"/>
      <c r="I145" s="605"/>
      <c r="J145" s="578"/>
    </row>
    <row r="146">
      <c r="A146" s="578"/>
      <c r="B146" s="658"/>
      <c r="C146" s="659"/>
      <c r="D146" s="659"/>
      <c r="E146" s="660"/>
      <c r="F146" s="605"/>
      <c r="G146" s="658"/>
      <c r="H146" s="578"/>
      <c r="I146" s="605"/>
      <c r="J146" s="578"/>
    </row>
    <row r="147">
      <c r="A147" s="578"/>
      <c r="B147" s="658"/>
      <c r="C147" s="659"/>
      <c r="D147" s="659"/>
      <c r="E147" s="660"/>
      <c r="F147" s="605"/>
      <c r="G147" s="658"/>
      <c r="H147" s="578"/>
      <c r="I147" s="605"/>
      <c r="J147" s="578"/>
    </row>
    <row r="148">
      <c r="A148" s="578"/>
      <c r="B148" s="658"/>
      <c r="C148" s="659"/>
      <c r="D148" s="659"/>
      <c r="E148" s="660"/>
      <c r="F148" s="605"/>
      <c r="G148" s="658"/>
      <c r="H148" s="578"/>
      <c r="I148" s="605"/>
      <c r="J148" s="578"/>
    </row>
    <row r="149">
      <c r="A149" s="578"/>
      <c r="B149" s="658"/>
      <c r="C149" s="659"/>
      <c r="D149" s="659"/>
      <c r="E149" s="660"/>
      <c r="F149" s="605"/>
      <c r="G149" s="658"/>
      <c r="H149" s="578"/>
      <c r="I149" s="605"/>
      <c r="J149" s="578"/>
    </row>
    <row r="150">
      <c r="A150" s="578"/>
      <c r="B150" s="658"/>
      <c r="C150" s="659"/>
      <c r="D150" s="659"/>
      <c r="E150" s="660"/>
      <c r="F150" s="605"/>
      <c r="G150" s="658"/>
      <c r="H150" s="578"/>
      <c r="I150" s="605"/>
      <c r="J150" s="578"/>
    </row>
    <row r="151">
      <c r="A151" s="578"/>
      <c r="B151" s="658"/>
      <c r="C151" s="659"/>
      <c r="D151" s="659"/>
      <c r="E151" s="660"/>
      <c r="F151" s="605"/>
      <c r="G151" s="658"/>
      <c r="H151" s="578"/>
      <c r="I151" s="605"/>
      <c r="J151" s="578"/>
    </row>
    <row r="152">
      <c r="A152" s="578"/>
      <c r="B152" s="658"/>
      <c r="C152" s="659"/>
      <c r="D152" s="659"/>
      <c r="E152" s="660"/>
      <c r="F152" s="605"/>
      <c r="G152" s="658"/>
      <c r="H152" s="578"/>
      <c r="I152" s="605"/>
      <c r="J152" s="578"/>
    </row>
    <row r="153">
      <c r="A153" s="578"/>
      <c r="B153" s="658"/>
      <c r="C153" s="659"/>
      <c r="D153" s="659"/>
      <c r="E153" s="660"/>
      <c r="F153" s="605"/>
      <c r="G153" s="658"/>
      <c r="H153" s="578"/>
      <c r="I153" s="605"/>
      <c r="J153" s="578"/>
    </row>
    <row r="154">
      <c r="A154" s="578"/>
      <c r="B154" s="658"/>
      <c r="C154" s="659"/>
      <c r="D154" s="659"/>
      <c r="E154" s="660"/>
      <c r="F154" s="605"/>
      <c r="G154" s="658"/>
      <c r="H154" s="578"/>
      <c r="I154" s="605"/>
      <c r="J154" s="578"/>
    </row>
    <row r="155">
      <c r="A155" s="578"/>
      <c r="B155" s="658"/>
      <c r="C155" s="659"/>
      <c r="D155" s="659"/>
      <c r="E155" s="660"/>
      <c r="F155" s="605"/>
      <c r="G155" s="658"/>
      <c r="H155" s="578"/>
      <c r="I155" s="605"/>
      <c r="J155" s="578"/>
    </row>
    <row r="156">
      <c r="A156" s="578"/>
      <c r="B156" s="658"/>
      <c r="C156" s="659"/>
      <c r="D156" s="659"/>
      <c r="E156" s="660"/>
      <c r="F156" s="605"/>
      <c r="G156" s="658"/>
      <c r="H156" s="578"/>
      <c r="I156" s="605"/>
      <c r="J156" s="578"/>
    </row>
    <row r="157">
      <c r="A157" s="578"/>
      <c r="B157" s="658"/>
      <c r="C157" s="659"/>
      <c r="D157" s="659"/>
      <c r="E157" s="660"/>
      <c r="F157" s="605"/>
      <c r="G157" s="658"/>
      <c r="H157" s="578"/>
      <c r="I157" s="605"/>
      <c r="J157" s="578"/>
    </row>
    <row r="158">
      <c r="A158" s="578"/>
      <c r="B158" s="658"/>
      <c r="C158" s="659"/>
      <c r="D158" s="659"/>
      <c r="E158" s="660"/>
      <c r="F158" s="605"/>
      <c r="G158" s="658"/>
      <c r="H158" s="578"/>
      <c r="I158" s="605"/>
      <c r="J158" s="578"/>
    </row>
    <row r="159">
      <c r="A159" s="578"/>
      <c r="B159" s="658"/>
      <c r="C159" s="659"/>
      <c r="D159" s="659"/>
      <c r="E159" s="660"/>
      <c r="F159" s="605"/>
      <c r="G159" s="658"/>
      <c r="H159" s="578"/>
      <c r="I159" s="605"/>
      <c r="J159" s="578"/>
    </row>
    <row r="160">
      <c r="A160" s="578"/>
      <c r="B160" s="658"/>
      <c r="C160" s="659"/>
      <c r="D160" s="659"/>
      <c r="E160" s="660"/>
      <c r="F160" s="605"/>
      <c r="G160" s="658"/>
      <c r="H160" s="578"/>
      <c r="I160" s="605"/>
      <c r="J160" s="578"/>
    </row>
    <row r="161">
      <c r="A161" s="578"/>
      <c r="B161" s="658"/>
      <c r="C161" s="659"/>
      <c r="D161" s="659"/>
      <c r="E161" s="660"/>
      <c r="F161" s="605"/>
      <c r="G161" s="658"/>
      <c r="H161" s="578"/>
      <c r="I161" s="605"/>
      <c r="J161" s="578"/>
    </row>
    <row r="162">
      <c r="A162" s="578"/>
      <c r="B162" s="658"/>
      <c r="C162" s="659"/>
      <c r="D162" s="659"/>
      <c r="E162" s="660"/>
      <c r="F162" s="605"/>
      <c r="G162" s="658"/>
      <c r="H162" s="578"/>
      <c r="I162" s="605"/>
      <c r="J162" s="578"/>
    </row>
    <row r="163">
      <c r="A163" s="578"/>
      <c r="B163" s="658"/>
      <c r="C163" s="659"/>
      <c r="D163" s="659"/>
      <c r="E163" s="660"/>
      <c r="F163" s="605"/>
      <c r="G163" s="658"/>
      <c r="H163" s="578"/>
      <c r="I163" s="605"/>
      <c r="J163" s="578"/>
    </row>
    <row r="164">
      <c r="A164" s="578"/>
      <c r="B164" s="658"/>
      <c r="C164" s="659"/>
      <c r="D164" s="659"/>
      <c r="E164" s="660"/>
      <c r="F164" s="605"/>
      <c r="G164" s="658"/>
      <c r="H164" s="578"/>
      <c r="I164" s="605"/>
      <c r="J164" s="578"/>
    </row>
    <row r="165">
      <c r="A165" s="578"/>
      <c r="B165" s="658"/>
      <c r="C165" s="659"/>
      <c r="D165" s="659"/>
      <c r="E165" s="660"/>
      <c r="F165" s="605"/>
      <c r="G165" s="658"/>
      <c r="H165" s="578"/>
      <c r="I165" s="605"/>
      <c r="J165" s="578"/>
    </row>
    <row r="166">
      <c r="A166" s="578"/>
      <c r="B166" s="658"/>
      <c r="C166" s="659"/>
      <c r="D166" s="659"/>
      <c r="E166" s="660"/>
      <c r="F166" s="605"/>
      <c r="G166" s="658"/>
      <c r="H166" s="578"/>
      <c r="I166" s="605"/>
      <c r="J166" s="578"/>
    </row>
    <row r="167">
      <c r="A167" s="578"/>
      <c r="B167" s="658"/>
      <c r="C167" s="659"/>
      <c r="D167" s="659"/>
      <c r="E167" s="660"/>
      <c r="F167" s="605"/>
      <c r="G167" s="658"/>
      <c r="H167" s="578"/>
      <c r="I167" s="605"/>
      <c r="J167" s="578"/>
    </row>
    <row r="168">
      <c r="A168" s="578"/>
      <c r="B168" s="658"/>
      <c r="C168" s="659"/>
      <c r="D168" s="659"/>
      <c r="E168" s="660"/>
      <c r="F168" s="605"/>
      <c r="G168" s="658"/>
      <c r="H168" s="578"/>
      <c r="I168" s="605"/>
      <c r="J168" s="578"/>
    </row>
    <row r="169">
      <c r="A169" s="578"/>
      <c r="B169" s="658"/>
      <c r="C169" s="659"/>
      <c r="D169" s="659"/>
      <c r="E169" s="660"/>
      <c r="F169" s="605"/>
      <c r="G169" s="658"/>
      <c r="H169" s="578"/>
      <c r="I169" s="605"/>
      <c r="J169" s="578"/>
    </row>
    <row r="170">
      <c r="A170" s="578"/>
      <c r="B170" s="658"/>
      <c r="C170" s="659"/>
      <c r="D170" s="659"/>
      <c r="E170" s="660"/>
      <c r="F170" s="605"/>
      <c r="G170" s="658"/>
      <c r="H170" s="578"/>
      <c r="I170" s="605"/>
      <c r="J170" s="578"/>
    </row>
    <row r="171">
      <c r="A171" s="578"/>
      <c r="B171" s="658"/>
      <c r="C171" s="659"/>
      <c r="D171" s="659"/>
      <c r="E171" s="660"/>
      <c r="F171" s="605"/>
      <c r="G171" s="658"/>
      <c r="H171" s="578"/>
      <c r="I171" s="605"/>
      <c r="J171" s="578"/>
    </row>
    <row r="172">
      <c r="A172" s="578"/>
      <c r="B172" s="658"/>
      <c r="C172" s="659"/>
      <c r="D172" s="659"/>
      <c r="E172" s="660"/>
      <c r="F172" s="605"/>
      <c r="G172" s="658"/>
      <c r="H172" s="578"/>
      <c r="I172" s="605"/>
      <c r="J172" s="578"/>
    </row>
    <row r="173">
      <c r="A173" s="578"/>
      <c r="B173" s="658"/>
      <c r="C173" s="659"/>
      <c r="D173" s="659"/>
      <c r="E173" s="660"/>
      <c r="F173" s="605"/>
      <c r="G173" s="658"/>
      <c r="H173" s="578"/>
      <c r="I173" s="605"/>
      <c r="J173" s="578"/>
    </row>
    <row r="174">
      <c r="A174" s="578"/>
      <c r="B174" s="658"/>
      <c r="C174" s="659"/>
      <c r="D174" s="659"/>
      <c r="E174" s="660"/>
      <c r="F174" s="605"/>
      <c r="G174" s="658"/>
      <c r="H174" s="578"/>
      <c r="I174" s="605"/>
      <c r="J174" s="578"/>
    </row>
    <row r="175">
      <c r="A175" s="578"/>
      <c r="B175" s="658"/>
      <c r="C175" s="659"/>
      <c r="D175" s="659"/>
      <c r="E175" s="660"/>
      <c r="F175" s="605"/>
      <c r="G175" s="658"/>
      <c r="H175" s="578"/>
      <c r="I175" s="605"/>
      <c r="J175" s="578"/>
    </row>
    <row r="176">
      <c r="A176" s="578"/>
      <c r="B176" s="658"/>
      <c r="C176" s="659"/>
      <c r="D176" s="659"/>
      <c r="E176" s="660"/>
      <c r="F176" s="605"/>
      <c r="G176" s="658"/>
      <c r="H176" s="578"/>
      <c r="I176" s="605"/>
      <c r="J176" s="578"/>
    </row>
    <row r="177">
      <c r="A177" s="578"/>
      <c r="B177" s="658"/>
      <c r="C177" s="659"/>
      <c r="D177" s="659"/>
      <c r="E177" s="660"/>
      <c r="F177" s="605"/>
      <c r="G177" s="658"/>
      <c r="H177" s="578"/>
      <c r="I177" s="605"/>
      <c r="J177" s="578"/>
    </row>
    <row r="178">
      <c r="A178" s="578"/>
      <c r="B178" s="658"/>
      <c r="C178" s="659"/>
      <c r="D178" s="659"/>
      <c r="E178" s="660"/>
      <c r="F178" s="605"/>
      <c r="G178" s="658"/>
      <c r="H178" s="578"/>
      <c r="I178" s="605"/>
      <c r="J178" s="578"/>
    </row>
    <row r="179">
      <c r="A179" s="578"/>
      <c r="B179" s="658"/>
      <c r="C179" s="659"/>
      <c r="D179" s="659"/>
      <c r="E179" s="660"/>
      <c r="F179" s="605"/>
      <c r="G179" s="658"/>
      <c r="H179" s="578"/>
      <c r="I179" s="605"/>
      <c r="J179" s="578"/>
    </row>
    <row r="180">
      <c r="A180" s="578"/>
      <c r="B180" s="658"/>
      <c r="C180" s="659"/>
      <c r="D180" s="659"/>
      <c r="E180" s="660"/>
      <c r="F180" s="605"/>
      <c r="G180" s="658"/>
      <c r="H180" s="578"/>
      <c r="I180" s="605"/>
      <c r="J180" s="578"/>
    </row>
    <row r="181">
      <c r="A181" s="578"/>
      <c r="B181" s="658"/>
      <c r="C181" s="659"/>
      <c r="D181" s="659"/>
      <c r="E181" s="660"/>
      <c r="F181" s="605"/>
      <c r="G181" s="658"/>
      <c r="H181" s="578"/>
      <c r="I181" s="605"/>
      <c r="J181" s="578"/>
    </row>
    <row r="182">
      <c r="A182" s="578"/>
      <c r="B182" s="658"/>
      <c r="C182" s="659"/>
      <c r="D182" s="659"/>
      <c r="E182" s="660"/>
      <c r="F182" s="605"/>
      <c r="G182" s="658"/>
      <c r="H182" s="578"/>
      <c r="I182" s="605"/>
      <c r="J182" s="578"/>
    </row>
    <row r="183">
      <c r="A183" s="578"/>
      <c r="B183" s="658"/>
      <c r="C183" s="659"/>
      <c r="D183" s="659"/>
      <c r="E183" s="660"/>
      <c r="F183" s="605"/>
      <c r="G183" s="658"/>
      <c r="H183" s="578"/>
      <c r="I183" s="605"/>
      <c r="J183" s="578"/>
    </row>
    <row r="184">
      <c r="A184" s="578"/>
      <c r="B184" s="658"/>
      <c r="C184" s="659"/>
      <c r="D184" s="659"/>
      <c r="E184" s="660"/>
      <c r="F184" s="605"/>
      <c r="G184" s="658"/>
      <c r="H184" s="578"/>
      <c r="I184" s="605"/>
      <c r="J184" s="578"/>
    </row>
    <row r="185">
      <c r="A185" s="578"/>
      <c r="B185" s="658"/>
      <c r="C185" s="659"/>
      <c r="D185" s="659"/>
      <c r="E185" s="660"/>
      <c r="F185" s="605"/>
      <c r="G185" s="658"/>
      <c r="H185" s="578"/>
      <c r="I185" s="605"/>
      <c r="J185" s="578"/>
    </row>
    <row r="186">
      <c r="A186" s="578"/>
      <c r="B186" s="658"/>
      <c r="C186" s="659"/>
      <c r="D186" s="659"/>
      <c r="E186" s="660"/>
      <c r="F186" s="605"/>
      <c r="G186" s="658"/>
      <c r="H186" s="578"/>
      <c r="I186" s="605"/>
      <c r="J186" s="578"/>
    </row>
    <row r="187">
      <c r="A187" s="578"/>
      <c r="B187" s="658"/>
      <c r="C187" s="659"/>
      <c r="D187" s="659"/>
      <c r="E187" s="660"/>
      <c r="F187" s="605"/>
      <c r="G187" s="658"/>
      <c r="H187" s="578"/>
      <c r="I187" s="605"/>
      <c r="J187" s="578"/>
    </row>
    <row r="188">
      <c r="A188" s="578"/>
      <c r="B188" s="658"/>
      <c r="C188" s="659"/>
      <c r="D188" s="659"/>
      <c r="E188" s="660"/>
      <c r="F188" s="605"/>
      <c r="G188" s="658"/>
      <c r="H188" s="578"/>
      <c r="I188" s="605"/>
      <c r="J188" s="578"/>
    </row>
    <row r="189">
      <c r="A189" s="578"/>
      <c r="B189" s="658"/>
      <c r="C189" s="659"/>
      <c r="D189" s="659"/>
      <c r="E189" s="660"/>
      <c r="F189" s="605"/>
      <c r="G189" s="658"/>
      <c r="H189" s="578"/>
      <c r="I189" s="605"/>
      <c r="J189" s="578"/>
    </row>
    <row r="190">
      <c r="A190" s="578"/>
      <c r="B190" s="658"/>
      <c r="C190" s="659"/>
      <c r="D190" s="659"/>
      <c r="E190" s="660"/>
      <c r="F190" s="605"/>
      <c r="G190" s="658"/>
      <c r="H190" s="578"/>
      <c r="I190" s="605"/>
      <c r="J190" s="578"/>
    </row>
    <row r="191">
      <c r="A191" s="578"/>
      <c r="B191" s="658"/>
      <c r="C191" s="659"/>
      <c r="D191" s="659"/>
      <c r="E191" s="660"/>
      <c r="F191" s="605"/>
      <c r="G191" s="658"/>
      <c r="H191" s="578"/>
      <c r="I191" s="605"/>
      <c r="J191" s="578"/>
    </row>
    <row r="192">
      <c r="A192" s="578"/>
      <c r="B192" s="658"/>
      <c r="C192" s="659"/>
      <c r="D192" s="659"/>
      <c r="E192" s="660"/>
      <c r="F192" s="605"/>
      <c r="G192" s="658"/>
      <c r="H192" s="578"/>
      <c r="I192" s="605"/>
      <c r="J192" s="578"/>
    </row>
    <row r="193">
      <c r="A193" s="578"/>
      <c r="B193" s="658"/>
      <c r="C193" s="659"/>
      <c r="D193" s="659"/>
      <c r="E193" s="660"/>
      <c r="F193" s="605"/>
      <c r="G193" s="658"/>
      <c r="H193" s="578"/>
      <c r="I193" s="605"/>
      <c r="J193" s="578"/>
    </row>
    <row r="194">
      <c r="A194" s="578"/>
      <c r="B194" s="658"/>
      <c r="C194" s="659"/>
      <c r="D194" s="659"/>
      <c r="E194" s="660"/>
      <c r="F194" s="605"/>
      <c r="G194" s="658"/>
      <c r="H194" s="578"/>
      <c r="I194" s="605"/>
      <c r="J194" s="578"/>
    </row>
    <row r="195">
      <c r="A195" s="578"/>
      <c r="B195" s="658"/>
      <c r="C195" s="659"/>
      <c r="D195" s="659"/>
      <c r="E195" s="660"/>
      <c r="F195" s="605"/>
      <c r="G195" s="658"/>
      <c r="H195" s="578"/>
      <c r="I195" s="605"/>
      <c r="J195" s="578"/>
    </row>
    <row r="196">
      <c r="A196" s="578"/>
      <c r="B196" s="658"/>
      <c r="C196" s="659"/>
      <c r="D196" s="659"/>
      <c r="E196" s="660"/>
      <c r="F196" s="605"/>
      <c r="G196" s="658"/>
      <c r="H196" s="578"/>
      <c r="I196" s="605"/>
      <c r="J196" s="578"/>
    </row>
    <row r="197">
      <c r="A197" s="578"/>
      <c r="B197" s="658"/>
      <c r="C197" s="659"/>
      <c r="D197" s="659"/>
      <c r="E197" s="660"/>
      <c r="F197" s="605"/>
      <c r="G197" s="658"/>
      <c r="H197" s="578"/>
      <c r="I197" s="605"/>
      <c r="J197" s="578"/>
    </row>
    <row r="198">
      <c r="A198" s="578"/>
      <c r="B198" s="658"/>
      <c r="C198" s="659"/>
      <c r="D198" s="659"/>
      <c r="E198" s="660"/>
      <c r="F198" s="605"/>
      <c r="G198" s="658"/>
      <c r="H198" s="578"/>
      <c r="I198" s="605"/>
      <c r="J198" s="578"/>
    </row>
    <row r="199">
      <c r="A199" s="578"/>
      <c r="B199" s="658"/>
      <c r="C199" s="659"/>
      <c r="D199" s="659"/>
      <c r="E199" s="660"/>
      <c r="F199" s="605"/>
      <c r="G199" s="658"/>
      <c r="H199" s="578"/>
      <c r="I199" s="605"/>
      <c r="J199" s="578"/>
    </row>
    <row r="200">
      <c r="A200" s="578"/>
      <c r="B200" s="658"/>
      <c r="C200" s="659"/>
      <c r="D200" s="659"/>
      <c r="E200" s="660"/>
      <c r="F200" s="605"/>
      <c r="G200" s="658"/>
      <c r="H200" s="578"/>
      <c r="I200" s="605"/>
      <c r="J200" s="578"/>
    </row>
    <row r="201">
      <c r="A201" s="578"/>
      <c r="B201" s="658"/>
      <c r="C201" s="659"/>
      <c r="D201" s="659"/>
      <c r="E201" s="660"/>
      <c r="F201" s="605"/>
      <c r="G201" s="658"/>
      <c r="H201" s="578"/>
      <c r="I201" s="605"/>
      <c r="J201" s="578"/>
    </row>
    <row r="202">
      <c r="A202" s="578"/>
      <c r="B202" s="658"/>
      <c r="C202" s="659"/>
      <c r="D202" s="659"/>
      <c r="E202" s="660"/>
      <c r="F202" s="605"/>
      <c r="G202" s="658"/>
      <c r="H202" s="578"/>
      <c r="I202" s="605"/>
      <c r="J202" s="578"/>
    </row>
    <row r="203">
      <c r="A203" s="578"/>
      <c r="B203" s="658"/>
      <c r="C203" s="659"/>
      <c r="D203" s="659"/>
      <c r="E203" s="660"/>
      <c r="F203" s="605"/>
      <c r="G203" s="658"/>
      <c r="H203" s="578"/>
      <c r="I203" s="605"/>
      <c r="J203" s="578"/>
    </row>
    <row r="204">
      <c r="A204" s="578"/>
      <c r="B204" s="658"/>
      <c r="C204" s="659"/>
      <c r="D204" s="659"/>
      <c r="E204" s="660"/>
      <c r="F204" s="605"/>
      <c r="G204" s="658"/>
      <c r="H204" s="578"/>
      <c r="I204" s="605"/>
      <c r="J204" s="578"/>
    </row>
    <row r="205">
      <c r="A205" s="578"/>
      <c r="B205" s="658"/>
      <c r="C205" s="659"/>
      <c r="D205" s="659"/>
      <c r="E205" s="660"/>
      <c r="F205" s="605"/>
      <c r="G205" s="658"/>
      <c r="H205" s="578"/>
      <c r="I205" s="605"/>
      <c r="J205" s="578"/>
    </row>
    <row r="206">
      <c r="A206" s="578"/>
      <c r="B206" s="658"/>
      <c r="C206" s="659"/>
      <c r="D206" s="659"/>
      <c r="E206" s="660"/>
      <c r="F206" s="605"/>
      <c r="G206" s="658"/>
      <c r="H206" s="578"/>
      <c r="I206" s="605"/>
      <c r="J206" s="578"/>
    </row>
    <row r="207">
      <c r="A207" s="578"/>
      <c r="B207" s="658"/>
      <c r="C207" s="659"/>
      <c r="D207" s="659"/>
      <c r="E207" s="660"/>
      <c r="F207" s="605"/>
      <c r="G207" s="658"/>
      <c r="H207" s="578"/>
      <c r="I207" s="605"/>
      <c r="J207" s="578"/>
    </row>
    <row r="208">
      <c r="A208" s="578"/>
      <c r="B208" s="658"/>
      <c r="C208" s="659"/>
      <c r="D208" s="659"/>
      <c r="E208" s="660"/>
      <c r="F208" s="605"/>
      <c r="G208" s="658"/>
      <c r="H208" s="578"/>
      <c r="I208" s="605"/>
      <c r="J208" s="578"/>
    </row>
    <row r="209">
      <c r="A209" s="578"/>
      <c r="B209" s="658"/>
      <c r="C209" s="659"/>
      <c r="D209" s="659"/>
      <c r="E209" s="660"/>
      <c r="F209" s="605"/>
      <c r="G209" s="658"/>
      <c r="H209" s="578"/>
      <c r="I209" s="605"/>
      <c r="J209" s="578"/>
    </row>
    <row r="210">
      <c r="A210" s="578"/>
      <c r="B210" s="658"/>
      <c r="C210" s="659"/>
      <c r="D210" s="659"/>
      <c r="E210" s="660"/>
      <c r="F210" s="605"/>
      <c r="G210" s="658"/>
      <c r="H210" s="578"/>
      <c r="I210" s="605"/>
      <c r="J210" s="578"/>
    </row>
    <row r="211">
      <c r="A211" s="578"/>
      <c r="B211" s="658"/>
      <c r="C211" s="659"/>
      <c r="D211" s="659"/>
      <c r="E211" s="660"/>
      <c r="F211" s="605"/>
      <c r="G211" s="658"/>
      <c r="H211" s="578"/>
      <c r="I211" s="605"/>
      <c r="J211" s="578"/>
    </row>
    <row r="212">
      <c r="A212" s="578"/>
      <c r="B212" s="658"/>
      <c r="C212" s="659"/>
      <c r="D212" s="659"/>
      <c r="E212" s="660"/>
      <c r="F212" s="605"/>
      <c r="G212" s="658"/>
      <c r="H212" s="578"/>
      <c r="I212" s="605"/>
      <c r="J212" s="578"/>
    </row>
    <row r="213">
      <c r="A213" s="578"/>
      <c r="B213" s="658"/>
      <c r="C213" s="659"/>
      <c r="D213" s="659"/>
      <c r="E213" s="660"/>
      <c r="F213" s="605"/>
      <c r="G213" s="658"/>
      <c r="H213" s="578"/>
      <c r="I213" s="605"/>
      <c r="J213" s="578"/>
    </row>
    <row r="214">
      <c r="A214" s="578"/>
      <c r="B214" s="658"/>
      <c r="C214" s="659"/>
      <c r="D214" s="659"/>
      <c r="E214" s="660"/>
      <c r="F214" s="605"/>
      <c r="G214" s="658"/>
      <c r="H214" s="578"/>
      <c r="I214" s="605"/>
      <c r="J214" s="578"/>
    </row>
    <row r="215">
      <c r="A215" s="578"/>
      <c r="B215" s="658"/>
      <c r="C215" s="659"/>
      <c r="D215" s="659"/>
      <c r="E215" s="660"/>
      <c r="F215" s="605"/>
      <c r="G215" s="658"/>
      <c r="H215" s="578"/>
      <c r="I215" s="605"/>
      <c r="J215" s="578"/>
    </row>
    <row r="216">
      <c r="A216" s="578"/>
      <c r="B216" s="658"/>
      <c r="C216" s="659"/>
      <c r="D216" s="659"/>
      <c r="E216" s="660"/>
      <c r="F216" s="605"/>
      <c r="G216" s="658"/>
      <c r="H216" s="578"/>
      <c r="I216" s="605"/>
      <c r="J216" s="578"/>
    </row>
    <row r="217">
      <c r="A217" s="578"/>
      <c r="B217" s="658"/>
      <c r="C217" s="659"/>
      <c r="D217" s="659"/>
      <c r="E217" s="660"/>
      <c r="F217" s="605"/>
      <c r="G217" s="658"/>
      <c r="H217" s="578"/>
      <c r="I217" s="605"/>
      <c r="J217" s="578"/>
    </row>
    <row r="218">
      <c r="A218" s="578"/>
      <c r="B218" s="658"/>
      <c r="C218" s="659"/>
      <c r="D218" s="659"/>
      <c r="E218" s="660"/>
      <c r="F218" s="605"/>
      <c r="G218" s="658"/>
      <c r="H218" s="578"/>
      <c r="I218" s="605"/>
      <c r="J218" s="578"/>
    </row>
    <row r="219">
      <c r="A219" s="578"/>
      <c r="B219" s="658"/>
      <c r="C219" s="659"/>
      <c r="D219" s="659"/>
      <c r="E219" s="660"/>
      <c r="F219" s="605"/>
      <c r="G219" s="658"/>
      <c r="H219" s="578"/>
      <c r="I219" s="605"/>
      <c r="J219" s="578"/>
    </row>
    <row r="220">
      <c r="A220" s="578"/>
      <c r="B220" s="658"/>
      <c r="C220" s="659"/>
      <c r="D220" s="659"/>
      <c r="E220" s="660"/>
      <c r="F220" s="605"/>
      <c r="G220" s="658"/>
      <c r="H220" s="578"/>
      <c r="I220" s="605"/>
      <c r="J220" s="578"/>
    </row>
    <row r="221">
      <c r="A221" s="578"/>
      <c r="B221" s="658"/>
      <c r="C221" s="659"/>
      <c r="D221" s="659"/>
      <c r="E221" s="660"/>
      <c r="F221" s="605"/>
      <c r="G221" s="658"/>
      <c r="H221" s="578"/>
      <c r="I221" s="605"/>
      <c r="J221" s="578"/>
    </row>
    <row r="222">
      <c r="A222" s="578"/>
      <c r="B222" s="658"/>
      <c r="C222" s="659"/>
      <c r="D222" s="659"/>
      <c r="E222" s="660"/>
      <c r="F222" s="605"/>
      <c r="G222" s="658"/>
      <c r="H222" s="578"/>
      <c r="I222" s="605"/>
      <c r="J222" s="578"/>
    </row>
    <row r="223">
      <c r="A223" s="578"/>
      <c r="B223" s="658"/>
      <c r="C223" s="659"/>
      <c r="D223" s="659"/>
      <c r="E223" s="660"/>
      <c r="F223" s="605"/>
      <c r="G223" s="658"/>
      <c r="H223" s="578"/>
      <c r="I223" s="605"/>
      <c r="J223" s="578"/>
    </row>
    <row r="224">
      <c r="A224" s="578"/>
      <c r="B224" s="658"/>
      <c r="C224" s="659"/>
      <c r="D224" s="659"/>
      <c r="E224" s="660"/>
      <c r="F224" s="605"/>
      <c r="G224" s="658"/>
      <c r="H224" s="578"/>
      <c r="I224" s="605"/>
      <c r="J224" s="578"/>
    </row>
    <row r="225">
      <c r="A225" s="578"/>
      <c r="B225" s="658"/>
      <c r="C225" s="659"/>
      <c r="D225" s="659"/>
      <c r="E225" s="660"/>
      <c r="F225" s="605"/>
      <c r="G225" s="658"/>
      <c r="H225" s="578"/>
      <c r="I225" s="605"/>
      <c r="J225" s="578"/>
    </row>
    <row r="226">
      <c r="A226" s="578"/>
      <c r="B226" s="658"/>
      <c r="C226" s="659"/>
      <c r="D226" s="659"/>
      <c r="E226" s="660"/>
      <c r="F226" s="605"/>
      <c r="G226" s="658"/>
      <c r="H226" s="578"/>
      <c r="I226" s="605"/>
      <c r="J226" s="578"/>
    </row>
    <row r="227">
      <c r="A227" s="578"/>
      <c r="B227" s="658"/>
      <c r="C227" s="659"/>
      <c r="D227" s="659"/>
      <c r="E227" s="660"/>
      <c r="F227" s="605"/>
      <c r="G227" s="658"/>
      <c r="H227" s="578"/>
      <c r="I227" s="605"/>
      <c r="J227" s="578"/>
    </row>
    <row r="228">
      <c r="A228" s="578"/>
      <c r="B228" s="658"/>
      <c r="C228" s="659"/>
      <c r="D228" s="659"/>
      <c r="E228" s="660"/>
      <c r="F228" s="605"/>
      <c r="G228" s="658"/>
      <c r="H228" s="578"/>
      <c r="I228" s="605"/>
      <c r="J228" s="578"/>
    </row>
    <row r="229">
      <c r="A229" s="578"/>
      <c r="B229" s="658"/>
      <c r="C229" s="659"/>
      <c r="D229" s="659"/>
      <c r="E229" s="660"/>
      <c r="F229" s="605"/>
      <c r="G229" s="658"/>
      <c r="H229" s="578"/>
      <c r="I229" s="605"/>
      <c r="J229" s="578"/>
    </row>
    <row r="230">
      <c r="A230" s="578"/>
      <c r="B230" s="658"/>
      <c r="C230" s="659"/>
      <c r="D230" s="659"/>
      <c r="E230" s="660"/>
      <c r="F230" s="605"/>
      <c r="G230" s="658"/>
      <c r="H230" s="578"/>
      <c r="I230" s="605"/>
      <c r="J230" s="578"/>
    </row>
    <row r="231">
      <c r="A231" s="578"/>
      <c r="B231" s="658"/>
      <c r="C231" s="659"/>
      <c r="D231" s="659"/>
      <c r="E231" s="660"/>
      <c r="F231" s="605"/>
      <c r="G231" s="658"/>
      <c r="H231" s="578"/>
      <c r="I231" s="605"/>
      <c r="J231" s="578"/>
    </row>
    <row r="232">
      <c r="A232" s="578"/>
      <c r="B232" s="658"/>
      <c r="C232" s="659"/>
      <c r="D232" s="659"/>
      <c r="E232" s="660"/>
      <c r="F232" s="605"/>
      <c r="G232" s="658"/>
      <c r="H232" s="578"/>
      <c r="I232" s="605"/>
      <c r="J232" s="578"/>
    </row>
    <row r="233">
      <c r="A233" s="578"/>
      <c r="B233" s="658"/>
      <c r="C233" s="659"/>
      <c r="D233" s="659"/>
      <c r="E233" s="660"/>
      <c r="F233" s="605"/>
      <c r="G233" s="658"/>
      <c r="H233" s="578"/>
      <c r="I233" s="605"/>
      <c r="J233" s="578"/>
    </row>
    <row r="234">
      <c r="A234" s="578"/>
      <c r="B234" s="658"/>
      <c r="C234" s="659"/>
      <c r="D234" s="659"/>
      <c r="E234" s="660"/>
      <c r="F234" s="605"/>
      <c r="G234" s="658"/>
      <c r="H234" s="578"/>
      <c r="I234" s="605"/>
      <c r="J234" s="578"/>
    </row>
    <row r="235">
      <c r="A235" s="578"/>
      <c r="B235" s="658"/>
      <c r="C235" s="659"/>
      <c r="D235" s="659"/>
      <c r="E235" s="660"/>
      <c r="F235" s="605"/>
      <c r="G235" s="658"/>
      <c r="H235" s="578"/>
      <c r="I235" s="605"/>
      <c r="J235" s="578"/>
    </row>
    <row r="236">
      <c r="A236" s="578"/>
      <c r="B236" s="658"/>
      <c r="C236" s="659"/>
      <c r="D236" s="659"/>
      <c r="E236" s="660"/>
      <c r="F236" s="605"/>
      <c r="G236" s="658"/>
      <c r="H236" s="578"/>
      <c r="I236" s="605"/>
      <c r="J236" s="578"/>
    </row>
    <row r="237">
      <c r="A237" s="578"/>
      <c r="B237" s="658"/>
      <c r="C237" s="659"/>
      <c r="D237" s="659"/>
      <c r="E237" s="660"/>
      <c r="F237" s="605"/>
      <c r="G237" s="658"/>
      <c r="H237" s="578"/>
      <c r="I237" s="605"/>
      <c r="J237" s="578"/>
    </row>
    <row r="238">
      <c r="A238" s="578"/>
      <c r="B238" s="658"/>
      <c r="C238" s="659"/>
      <c r="D238" s="659"/>
      <c r="E238" s="660"/>
      <c r="F238" s="605"/>
      <c r="G238" s="658"/>
      <c r="H238" s="578"/>
      <c r="I238" s="605"/>
      <c r="J238" s="578"/>
    </row>
    <row r="239">
      <c r="A239" s="578"/>
      <c r="B239" s="658"/>
      <c r="C239" s="659"/>
      <c r="D239" s="659"/>
      <c r="E239" s="660"/>
      <c r="F239" s="605"/>
      <c r="G239" s="658"/>
      <c r="H239" s="578"/>
      <c r="I239" s="605"/>
      <c r="J239" s="578"/>
    </row>
    <row r="240">
      <c r="A240" s="578"/>
      <c r="B240" s="658"/>
      <c r="C240" s="659"/>
      <c r="D240" s="659"/>
      <c r="E240" s="660"/>
      <c r="F240" s="605"/>
      <c r="G240" s="658"/>
      <c r="H240" s="578"/>
      <c r="I240" s="605"/>
      <c r="J240" s="578"/>
    </row>
    <row r="241">
      <c r="A241" s="578"/>
      <c r="B241" s="658"/>
      <c r="C241" s="659"/>
      <c r="D241" s="659"/>
      <c r="E241" s="660"/>
      <c r="F241" s="605"/>
      <c r="G241" s="658"/>
      <c r="H241" s="578"/>
      <c r="I241" s="605"/>
      <c r="J241" s="578"/>
    </row>
    <row r="242">
      <c r="A242" s="578"/>
      <c r="B242" s="658"/>
      <c r="C242" s="659"/>
      <c r="D242" s="659"/>
      <c r="E242" s="660"/>
      <c r="F242" s="605"/>
      <c r="G242" s="658"/>
      <c r="H242" s="578"/>
      <c r="I242" s="605"/>
      <c r="J242" s="578"/>
    </row>
    <row r="243">
      <c r="A243" s="578"/>
      <c r="B243" s="658"/>
      <c r="C243" s="659"/>
      <c r="D243" s="659"/>
      <c r="E243" s="660"/>
      <c r="F243" s="605"/>
      <c r="G243" s="658"/>
      <c r="H243" s="578"/>
      <c r="I243" s="605"/>
      <c r="J243" s="578"/>
    </row>
    <row r="244">
      <c r="A244" s="578"/>
      <c r="B244" s="658"/>
      <c r="C244" s="659"/>
      <c r="D244" s="659"/>
      <c r="E244" s="660"/>
      <c r="F244" s="605"/>
      <c r="G244" s="658"/>
      <c r="H244" s="578"/>
      <c r="I244" s="605"/>
      <c r="J244" s="578"/>
    </row>
    <row r="245">
      <c r="A245" s="578"/>
      <c r="B245" s="658"/>
      <c r="C245" s="659"/>
      <c r="D245" s="659"/>
      <c r="E245" s="660"/>
      <c r="F245" s="605"/>
      <c r="G245" s="658"/>
      <c r="H245" s="578"/>
      <c r="I245" s="605"/>
      <c r="J245" s="578"/>
    </row>
    <row r="246">
      <c r="A246" s="578"/>
      <c r="B246" s="658"/>
      <c r="C246" s="659"/>
      <c r="D246" s="659"/>
      <c r="E246" s="660"/>
      <c r="F246" s="605"/>
      <c r="G246" s="658"/>
      <c r="H246" s="578"/>
      <c r="I246" s="605"/>
      <c r="J246" s="578"/>
    </row>
    <row r="247">
      <c r="A247" s="578"/>
      <c r="B247" s="658"/>
      <c r="C247" s="659"/>
      <c r="D247" s="659"/>
      <c r="E247" s="660"/>
      <c r="F247" s="605"/>
      <c r="G247" s="658"/>
      <c r="H247" s="578"/>
      <c r="I247" s="605"/>
      <c r="J247" s="578"/>
    </row>
    <row r="248">
      <c r="A248" s="578"/>
      <c r="B248" s="658"/>
      <c r="C248" s="659"/>
      <c r="D248" s="659"/>
      <c r="E248" s="660"/>
      <c r="F248" s="605"/>
      <c r="G248" s="658"/>
      <c r="H248" s="578"/>
      <c r="I248" s="605"/>
      <c r="J248" s="578"/>
    </row>
    <row r="249">
      <c r="A249" s="578"/>
      <c r="B249" s="658"/>
      <c r="C249" s="659"/>
      <c r="D249" s="659"/>
      <c r="E249" s="660"/>
      <c r="F249" s="605"/>
      <c r="G249" s="658"/>
      <c r="H249" s="578"/>
      <c r="I249" s="605"/>
      <c r="J249" s="578"/>
    </row>
    <row r="250">
      <c r="A250" s="578"/>
      <c r="B250" s="658"/>
      <c r="C250" s="659"/>
      <c r="D250" s="659"/>
      <c r="E250" s="660"/>
      <c r="F250" s="605"/>
      <c r="G250" s="658"/>
      <c r="H250" s="578"/>
      <c r="I250" s="605"/>
      <c r="J250" s="578"/>
    </row>
    <row r="251">
      <c r="A251" s="578"/>
      <c r="B251" s="658"/>
      <c r="C251" s="659"/>
      <c r="D251" s="659"/>
      <c r="E251" s="660"/>
      <c r="F251" s="605"/>
      <c r="G251" s="658"/>
      <c r="H251" s="578"/>
      <c r="I251" s="605"/>
      <c r="J251" s="578"/>
    </row>
    <row r="252">
      <c r="A252" s="578"/>
      <c r="B252" s="658"/>
      <c r="C252" s="659"/>
      <c r="D252" s="659"/>
      <c r="E252" s="660"/>
      <c r="F252" s="605"/>
      <c r="G252" s="658"/>
      <c r="H252" s="578"/>
      <c r="I252" s="605"/>
      <c r="J252" s="578"/>
    </row>
    <row r="253">
      <c r="A253" s="578"/>
      <c r="B253" s="658"/>
      <c r="C253" s="659"/>
      <c r="D253" s="659"/>
      <c r="E253" s="660"/>
      <c r="F253" s="605"/>
      <c r="G253" s="658"/>
      <c r="H253" s="578"/>
      <c r="I253" s="605"/>
      <c r="J253" s="578"/>
    </row>
    <row r="254">
      <c r="A254" s="578"/>
      <c r="B254" s="658"/>
      <c r="C254" s="659"/>
      <c r="D254" s="659"/>
      <c r="E254" s="660"/>
      <c r="F254" s="605"/>
      <c r="G254" s="658"/>
      <c r="H254" s="578"/>
      <c r="I254" s="605"/>
      <c r="J254" s="578"/>
    </row>
    <row r="255">
      <c r="A255" s="578"/>
      <c r="B255" s="658"/>
      <c r="C255" s="659"/>
      <c r="D255" s="659"/>
      <c r="E255" s="660"/>
      <c r="F255" s="605"/>
      <c r="G255" s="658"/>
      <c r="H255" s="578"/>
      <c r="I255" s="605"/>
      <c r="J255" s="578"/>
    </row>
    <row r="256">
      <c r="A256" s="578"/>
      <c r="B256" s="658"/>
      <c r="C256" s="659"/>
      <c r="D256" s="659"/>
      <c r="E256" s="660"/>
      <c r="F256" s="605"/>
      <c r="G256" s="658"/>
      <c r="H256" s="578"/>
      <c r="I256" s="605"/>
      <c r="J256" s="578"/>
    </row>
    <row r="257">
      <c r="A257" s="578"/>
      <c r="B257" s="658"/>
      <c r="C257" s="659"/>
      <c r="D257" s="659"/>
      <c r="E257" s="660"/>
      <c r="F257" s="605"/>
      <c r="G257" s="658"/>
      <c r="H257" s="578"/>
      <c r="I257" s="605"/>
      <c r="J257" s="578"/>
    </row>
    <row r="258">
      <c r="A258" s="578"/>
      <c r="B258" s="658"/>
      <c r="C258" s="659"/>
      <c r="D258" s="659"/>
      <c r="E258" s="660"/>
      <c r="F258" s="605"/>
      <c r="G258" s="658"/>
      <c r="H258" s="578"/>
      <c r="I258" s="605"/>
      <c r="J258" s="578"/>
    </row>
    <row r="259">
      <c r="A259" s="578"/>
      <c r="B259" s="658"/>
      <c r="C259" s="659"/>
      <c r="D259" s="659"/>
      <c r="E259" s="660"/>
      <c r="F259" s="605"/>
      <c r="G259" s="658"/>
      <c r="H259" s="578"/>
      <c r="I259" s="605"/>
      <c r="J259" s="578"/>
    </row>
    <row r="260">
      <c r="A260" s="578"/>
      <c r="B260" s="658"/>
      <c r="C260" s="659"/>
      <c r="D260" s="659"/>
      <c r="E260" s="660"/>
      <c r="F260" s="605"/>
      <c r="G260" s="658"/>
      <c r="H260" s="578"/>
      <c r="I260" s="605"/>
      <c r="J260" s="578"/>
    </row>
    <row r="261">
      <c r="A261" s="578"/>
      <c r="B261" s="658"/>
      <c r="C261" s="659"/>
      <c r="D261" s="659"/>
      <c r="E261" s="660"/>
      <c r="F261" s="605"/>
      <c r="G261" s="658"/>
      <c r="H261" s="578"/>
      <c r="I261" s="605"/>
      <c r="J261" s="578"/>
    </row>
    <row r="262">
      <c r="A262" s="578"/>
      <c r="B262" s="658"/>
      <c r="C262" s="659"/>
      <c r="D262" s="659"/>
      <c r="E262" s="660"/>
      <c r="F262" s="605"/>
      <c r="G262" s="658"/>
      <c r="H262" s="578"/>
      <c r="I262" s="605"/>
      <c r="J262" s="578"/>
    </row>
    <row r="263">
      <c r="A263" s="578"/>
      <c r="B263" s="658"/>
      <c r="C263" s="659"/>
      <c r="D263" s="659"/>
      <c r="E263" s="660"/>
      <c r="F263" s="605"/>
      <c r="G263" s="658"/>
      <c r="H263" s="578"/>
      <c r="I263" s="605"/>
      <c r="J263" s="578"/>
    </row>
    <row r="264">
      <c r="A264" s="578"/>
      <c r="B264" s="658"/>
      <c r="C264" s="659"/>
      <c r="D264" s="659"/>
      <c r="E264" s="660"/>
      <c r="F264" s="605"/>
      <c r="G264" s="658"/>
      <c r="H264" s="578"/>
      <c r="I264" s="605"/>
      <c r="J264" s="578"/>
    </row>
    <row r="265">
      <c r="A265" s="578"/>
      <c r="B265" s="658"/>
      <c r="C265" s="659"/>
      <c r="D265" s="659"/>
      <c r="E265" s="660"/>
      <c r="F265" s="605"/>
      <c r="G265" s="658"/>
      <c r="H265" s="578"/>
      <c r="I265" s="605"/>
      <c r="J265" s="578"/>
    </row>
    <row r="266">
      <c r="A266" s="578"/>
      <c r="B266" s="658"/>
      <c r="C266" s="659"/>
      <c r="D266" s="659"/>
      <c r="E266" s="660"/>
      <c r="F266" s="605"/>
      <c r="G266" s="658"/>
      <c r="H266" s="578"/>
      <c r="I266" s="605"/>
      <c r="J266" s="578"/>
    </row>
    <row r="267">
      <c r="A267" s="578"/>
      <c r="B267" s="658"/>
      <c r="C267" s="659"/>
      <c r="D267" s="659"/>
      <c r="E267" s="660"/>
      <c r="F267" s="605"/>
      <c r="G267" s="658"/>
      <c r="H267" s="578"/>
      <c r="I267" s="605"/>
      <c r="J267" s="578"/>
    </row>
    <row r="268">
      <c r="A268" s="578"/>
      <c r="B268" s="658"/>
      <c r="C268" s="659"/>
      <c r="D268" s="659"/>
      <c r="E268" s="660"/>
      <c r="F268" s="605"/>
      <c r="G268" s="658"/>
      <c r="H268" s="578"/>
      <c r="I268" s="605"/>
      <c r="J268" s="578"/>
    </row>
    <row r="269">
      <c r="A269" s="578"/>
      <c r="B269" s="658"/>
      <c r="C269" s="659"/>
      <c r="D269" s="659"/>
      <c r="E269" s="660"/>
      <c r="F269" s="605"/>
      <c r="G269" s="658"/>
      <c r="H269" s="578"/>
      <c r="I269" s="605"/>
      <c r="J269" s="578"/>
    </row>
    <row r="270">
      <c r="A270" s="578"/>
      <c r="B270" s="658"/>
      <c r="C270" s="659"/>
      <c r="D270" s="659"/>
      <c r="E270" s="660"/>
      <c r="F270" s="605"/>
      <c r="G270" s="658"/>
      <c r="H270" s="578"/>
      <c r="I270" s="605"/>
      <c r="J270" s="578"/>
    </row>
    <row r="271">
      <c r="A271" s="578"/>
      <c r="B271" s="658"/>
      <c r="C271" s="659"/>
      <c r="D271" s="659"/>
      <c r="E271" s="660"/>
      <c r="F271" s="605"/>
      <c r="G271" s="658"/>
      <c r="H271" s="578"/>
      <c r="I271" s="605"/>
      <c r="J271" s="578"/>
    </row>
    <row r="272">
      <c r="A272" s="578"/>
      <c r="B272" s="658"/>
      <c r="C272" s="659"/>
      <c r="D272" s="659"/>
      <c r="E272" s="660"/>
      <c r="F272" s="605"/>
      <c r="G272" s="658"/>
      <c r="H272" s="578"/>
      <c r="I272" s="605"/>
      <c r="J272" s="578"/>
    </row>
    <row r="273">
      <c r="A273" s="578"/>
      <c r="B273" s="658"/>
      <c r="C273" s="659"/>
      <c r="D273" s="659"/>
      <c r="E273" s="660"/>
      <c r="F273" s="605"/>
      <c r="G273" s="658"/>
      <c r="H273" s="578"/>
      <c r="I273" s="605"/>
      <c r="J273" s="578"/>
    </row>
    <row r="274">
      <c r="A274" s="578"/>
      <c r="B274" s="658"/>
      <c r="C274" s="659"/>
      <c r="D274" s="659"/>
      <c r="E274" s="660"/>
      <c r="F274" s="605"/>
      <c r="G274" s="658"/>
      <c r="H274" s="578"/>
      <c r="I274" s="605"/>
      <c r="J274" s="578"/>
    </row>
    <row r="275">
      <c r="A275" s="578"/>
      <c r="B275" s="658"/>
      <c r="C275" s="659"/>
      <c r="D275" s="659"/>
      <c r="E275" s="660"/>
      <c r="F275" s="605"/>
      <c r="G275" s="658"/>
      <c r="H275" s="578"/>
      <c r="I275" s="605"/>
      <c r="J275" s="578"/>
    </row>
    <row r="276">
      <c r="A276" s="578"/>
      <c r="B276" s="658"/>
      <c r="C276" s="659"/>
      <c r="D276" s="659"/>
      <c r="E276" s="660"/>
      <c r="F276" s="605"/>
      <c r="G276" s="658"/>
      <c r="H276" s="578"/>
      <c r="I276" s="605"/>
      <c r="J276" s="578"/>
    </row>
    <row r="277">
      <c r="A277" s="578"/>
      <c r="B277" s="658"/>
      <c r="C277" s="659"/>
      <c r="D277" s="659"/>
      <c r="E277" s="660"/>
      <c r="F277" s="605"/>
      <c r="G277" s="658"/>
      <c r="H277" s="578"/>
      <c r="I277" s="605"/>
      <c r="J277" s="578"/>
    </row>
    <row r="278">
      <c r="A278" s="578"/>
      <c r="B278" s="658"/>
      <c r="C278" s="659"/>
      <c r="D278" s="659"/>
      <c r="E278" s="660"/>
      <c r="F278" s="605"/>
      <c r="G278" s="658"/>
      <c r="H278" s="578"/>
      <c r="I278" s="605"/>
      <c r="J278" s="578"/>
    </row>
    <row r="279">
      <c r="A279" s="578"/>
      <c r="B279" s="658"/>
      <c r="C279" s="659"/>
      <c r="D279" s="659"/>
      <c r="E279" s="660"/>
      <c r="F279" s="605"/>
      <c r="G279" s="658"/>
      <c r="H279" s="578"/>
      <c r="I279" s="605"/>
      <c r="J279" s="578"/>
    </row>
    <row r="280">
      <c r="A280" s="578"/>
      <c r="B280" s="658"/>
      <c r="C280" s="659"/>
      <c r="D280" s="659"/>
      <c r="E280" s="660"/>
      <c r="F280" s="605"/>
      <c r="G280" s="658"/>
      <c r="H280" s="578"/>
      <c r="I280" s="605"/>
      <c r="J280" s="578"/>
    </row>
    <row r="281">
      <c r="A281" s="578"/>
      <c r="B281" s="658"/>
      <c r="C281" s="659"/>
      <c r="D281" s="659"/>
      <c r="E281" s="660"/>
      <c r="F281" s="605"/>
      <c r="G281" s="658"/>
      <c r="H281" s="578"/>
      <c r="I281" s="605"/>
      <c r="J281" s="578"/>
    </row>
    <row r="282">
      <c r="A282" s="578"/>
      <c r="B282" s="658"/>
      <c r="C282" s="659"/>
      <c r="D282" s="659"/>
      <c r="E282" s="660"/>
      <c r="F282" s="605"/>
      <c r="G282" s="658"/>
      <c r="H282" s="578"/>
      <c r="I282" s="605"/>
      <c r="J282" s="578"/>
    </row>
    <row r="283">
      <c r="A283" s="578"/>
      <c r="B283" s="658"/>
      <c r="C283" s="659"/>
      <c r="D283" s="659"/>
      <c r="E283" s="660"/>
      <c r="F283" s="605"/>
      <c r="G283" s="658"/>
      <c r="H283" s="578"/>
      <c r="I283" s="605"/>
      <c r="J283" s="578"/>
    </row>
    <row r="284">
      <c r="A284" s="578"/>
      <c r="B284" s="658"/>
      <c r="C284" s="659"/>
      <c r="D284" s="659"/>
      <c r="E284" s="660"/>
      <c r="F284" s="605"/>
      <c r="G284" s="658"/>
      <c r="H284" s="578"/>
      <c r="I284" s="605"/>
      <c r="J284" s="578"/>
    </row>
    <row r="285">
      <c r="A285" s="578"/>
      <c r="B285" s="658"/>
      <c r="C285" s="659"/>
      <c r="D285" s="659"/>
      <c r="E285" s="660"/>
      <c r="F285" s="605"/>
      <c r="G285" s="658"/>
      <c r="H285" s="578"/>
      <c r="I285" s="605"/>
      <c r="J285" s="578"/>
    </row>
    <row r="286">
      <c r="A286" s="578"/>
      <c r="B286" s="658"/>
      <c r="C286" s="659"/>
      <c r="D286" s="659"/>
      <c r="E286" s="660"/>
      <c r="F286" s="605"/>
      <c r="G286" s="658"/>
      <c r="H286" s="578"/>
      <c r="I286" s="605"/>
      <c r="J286" s="578"/>
    </row>
    <row r="287">
      <c r="A287" s="578"/>
      <c r="B287" s="658"/>
      <c r="C287" s="659"/>
      <c r="D287" s="659"/>
      <c r="E287" s="660"/>
      <c r="F287" s="605"/>
      <c r="G287" s="658"/>
      <c r="H287" s="578"/>
      <c r="I287" s="605"/>
      <c r="J287" s="578"/>
    </row>
    <row r="288">
      <c r="A288" s="578"/>
      <c r="B288" s="658"/>
      <c r="C288" s="659"/>
      <c r="D288" s="659"/>
      <c r="E288" s="660"/>
      <c r="F288" s="605"/>
      <c r="G288" s="658"/>
      <c r="H288" s="578"/>
      <c r="I288" s="605"/>
      <c r="J288" s="578"/>
    </row>
    <row r="289">
      <c r="A289" s="578"/>
      <c r="B289" s="658"/>
      <c r="C289" s="659"/>
      <c r="D289" s="659"/>
      <c r="E289" s="660"/>
      <c r="F289" s="605"/>
      <c r="G289" s="658"/>
      <c r="H289" s="578"/>
      <c r="I289" s="605"/>
      <c r="J289" s="578"/>
    </row>
    <row r="290">
      <c r="A290" s="578"/>
      <c r="B290" s="658"/>
      <c r="C290" s="659"/>
      <c r="D290" s="659"/>
      <c r="E290" s="660"/>
      <c r="F290" s="605"/>
      <c r="G290" s="658"/>
      <c r="H290" s="578"/>
      <c r="I290" s="605"/>
      <c r="J290" s="578"/>
    </row>
    <row r="291">
      <c r="A291" s="578"/>
      <c r="B291" s="658"/>
      <c r="C291" s="659"/>
      <c r="D291" s="659"/>
      <c r="E291" s="660"/>
      <c r="F291" s="605"/>
      <c r="G291" s="658"/>
      <c r="H291" s="578"/>
      <c r="I291" s="605"/>
      <c r="J291" s="578"/>
    </row>
    <row r="292">
      <c r="A292" s="578"/>
      <c r="B292" s="658"/>
      <c r="C292" s="659"/>
      <c r="D292" s="659"/>
      <c r="E292" s="660"/>
      <c r="F292" s="605"/>
      <c r="G292" s="658"/>
      <c r="H292" s="578"/>
      <c r="I292" s="605"/>
      <c r="J292" s="578"/>
    </row>
    <row r="293">
      <c r="A293" s="578"/>
      <c r="B293" s="658"/>
      <c r="C293" s="659"/>
      <c r="D293" s="659"/>
      <c r="E293" s="660"/>
      <c r="F293" s="605"/>
      <c r="G293" s="658"/>
      <c r="H293" s="578"/>
      <c r="I293" s="605"/>
      <c r="J293" s="578"/>
    </row>
    <row r="294">
      <c r="A294" s="578"/>
      <c r="B294" s="658"/>
      <c r="C294" s="659"/>
      <c r="D294" s="659"/>
      <c r="E294" s="660"/>
      <c r="F294" s="605"/>
      <c r="G294" s="658"/>
      <c r="H294" s="578"/>
      <c r="I294" s="605"/>
      <c r="J294" s="578"/>
    </row>
    <row r="295">
      <c r="A295" s="578"/>
      <c r="B295" s="658"/>
      <c r="C295" s="659"/>
      <c r="D295" s="659"/>
      <c r="E295" s="660"/>
      <c r="F295" s="605"/>
      <c r="G295" s="658"/>
      <c r="H295" s="578"/>
      <c r="I295" s="605"/>
      <c r="J295" s="578"/>
    </row>
    <row r="296">
      <c r="A296" s="578"/>
      <c r="B296" s="658"/>
      <c r="C296" s="659"/>
      <c r="D296" s="659"/>
      <c r="E296" s="660"/>
      <c r="F296" s="605"/>
      <c r="G296" s="658"/>
      <c r="H296" s="578"/>
      <c r="I296" s="605"/>
      <c r="J296" s="578"/>
    </row>
    <row r="297">
      <c r="A297" s="578"/>
      <c r="B297" s="658"/>
      <c r="C297" s="659"/>
      <c r="D297" s="659"/>
      <c r="E297" s="660"/>
      <c r="F297" s="605"/>
      <c r="G297" s="658"/>
      <c r="H297" s="578"/>
      <c r="I297" s="605"/>
      <c r="J297" s="578"/>
    </row>
    <row r="298">
      <c r="A298" s="578"/>
      <c r="B298" s="658"/>
      <c r="C298" s="659"/>
      <c r="D298" s="659"/>
      <c r="E298" s="660"/>
      <c r="F298" s="605"/>
      <c r="G298" s="658"/>
      <c r="H298" s="578"/>
      <c r="I298" s="605"/>
      <c r="J298" s="578"/>
    </row>
    <row r="299">
      <c r="A299" s="578"/>
      <c r="B299" s="658"/>
      <c r="C299" s="659"/>
      <c r="D299" s="659"/>
      <c r="E299" s="660"/>
      <c r="F299" s="605"/>
      <c r="G299" s="658"/>
      <c r="H299" s="578"/>
      <c r="I299" s="605"/>
      <c r="J299" s="578"/>
    </row>
    <row r="300">
      <c r="A300" s="578"/>
      <c r="B300" s="658"/>
      <c r="C300" s="659"/>
      <c r="D300" s="659"/>
      <c r="E300" s="660"/>
      <c r="F300" s="605"/>
      <c r="G300" s="658"/>
      <c r="H300" s="578"/>
      <c r="I300" s="605"/>
      <c r="J300" s="578"/>
    </row>
    <row r="301">
      <c r="A301" s="578"/>
      <c r="B301" s="658"/>
      <c r="C301" s="659"/>
      <c r="D301" s="659"/>
      <c r="E301" s="660"/>
      <c r="F301" s="605"/>
      <c r="G301" s="658"/>
      <c r="H301" s="578"/>
      <c r="I301" s="605"/>
      <c r="J301" s="578"/>
    </row>
    <row r="302">
      <c r="A302" s="578"/>
      <c r="B302" s="658"/>
      <c r="C302" s="659"/>
      <c r="D302" s="659"/>
      <c r="E302" s="660"/>
      <c r="F302" s="605"/>
      <c r="G302" s="658"/>
      <c r="H302" s="578"/>
      <c r="I302" s="605"/>
      <c r="J302" s="578"/>
    </row>
    <row r="303">
      <c r="A303" s="578"/>
      <c r="B303" s="658"/>
      <c r="C303" s="659"/>
      <c r="D303" s="659"/>
      <c r="E303" s="660"/>
      <c r="F303" s="605"/>
      <c r="G303" s="658"/>
      <c r="H303" s="578"/>
      <c r="I303" s="605"/>
      <c r="J303" s="578"/>
    </row>
    <row r="304">
      <c r="A304" s="578"/>
      <c r="B304" s="658"/>
      <c r="C304" s="659"/>
      <c r="D304" s="659"/>
      <c r="E304" s="660"/>
      <c r="F304" s="605"/>
      <c r="G304" s="658"/>
      <c r="H304" s="578"/>
      <c r="I304" s="605"/>
      <c r="J304" s="578"/>
    </row>
    <row r="305">
      <c r="A305" s="578"/>
      <c r="B305" s="658"/>
      <c r="C305" s="659"/>
      <c r="D305" s="659"/>
      <c r="E305" s="660"/>
      <c r="F305" s="605"/>
      <c r="G305" s="658"/>
      <c r="H305" s="578"/>
      <c r="I305" s="605"/>
      <c r="J305" s="578"/>
    </row>
    <row r="306">
      <c r="A306" s="578"/>
      <c r="B306" s="658"/>
      <c r="C306" s="659"/>
      <c r="D306" s="659"/>
      <c r="E306" s="660"/>
      <c r="F306" s="605"/>
      <c r="G306" s="658"/>
      <c r="H306" s="578"/>
      <c r="I306" s="605"/>
      <c r="J306" s="578"/>
    </row>
    <row r="307">
      <c r="A307" s="578"/>
      <c r="B307" s="658"/>
      <c r="C307" s="659"/>
      <c r="D307" s="659"/>
      <c r="E307" s="660"/>
      <c r="F307" s="605"/>
      <c r="G307" s="658"/>
      <c r="H307" s="578"/>
      <c r="I307" s="605"/>
      <c r="J307" s="578"/>
    </row>
    <row r="308">
      <c r="A308" s="578"/>
      <c r="B308" s="658"/>
      <c r="C308" s="659"/>
      <c r="D308" s="659"/>
      <c r="E308" s="660"/>
      <c r="F308" s="605"/>
      <c r="G308" s="658"/>
      <c r="H308" s="578"/>
      <c r="I308" s="605"/>
      <c r="J308" s="578"/>
    </row>
    <row r="309">
      <c r="A309" s="578"/>
      <c r="B309" s="658"/>
      <c r="C309" s="659"/>
      <c r="D309" s="659"/>
      <c r="E309" s="660"/>
      <c r="F309" s="605"/>
      <c r="G309" s="658"/>
      <c r="H309" s="578"/>
      <c r="I309" s="605"/>
      <c r="J309" s="578"/>
    </row>
    <row r="310">
      <c r="A310" s="578"/>
      <c r="B310" s="658"/>
      <c r="C310" s="659"/>
      <c r="D310" s="659"/>
      <c r="E310" s="660"/>
      <c r="F310" s="605"/>
      <c r="G310" s="658"/>
      <c r="H310" s="578"/>
      <c r="I310" s="605"/>
      <c r="J310" s="578"/>
    </row>
    <row r="311">
      <c r="A311" s="578"/>
      <c r="B311" s="658"/>
      <c r="C311" s="659"/>
      <c r="D311" s="659"/>
      <c r="E311" s="660"/>
      <c r="F311" s="605"/>
      <c r="G311" s="658"/>
      <c r="H311" s="578"/>
      <c r="I311" s="605"/>
      <c r="J311" s="578"/>
    </row>
    <row r="312">
      <c r="A312" s="578"/>
      <c r="B312" s="658"/>
      <c r="C312" s="659"/>
      <c r="D312" s="659"/>
      <c r="E312" s="660"/>
      <c r="F312" s="605"/>
      <c r="G312" s="658"/>
      <c r="H312" s="578"/>
      <c r="I312" s="605"/>
      <c r="J312" s="578"/>
    </row>
    <row r="313">
      <c r="A313" s="578"/>
      <c r="B313" s="658"/>
      <c r="C313" s="659"/>
      <c r="D313" s="659"/>
      <c r="E313" s="660"/>
      <c r="F313" s="605"/>
      <c r="G313" s="658"/>
      <c r="H313" s="578"/>
      <c r="I313" s="605"/>
      <c r="J313" s="578"/>
    </row>
    <row r="314">
      <c r="A314" s="578"/>
      <c r="B314" s="658"/>
      <c r="C314" s="659"/>
      <c r="D314" s="659"/>
      <c r="E314" s="660"/>
      <c r="F314" s="605"/>
      <c r="G314" s="658"/>
      <c r="H314" s="578"/>
      <c r="I314" s="605"/>
      <c r="J314" s="578"/>
    </row>
    <row r="315">
      <c r="A315" s="578"/>
      <c r="B315" s="658"/>
      <c r="C315" s="659"/>
      <c r="D315" s="659"/>
      <c r="E315" s="660"/>
      <c r="F315" s="605"/>
      <c r="G315" s="658"/>
      <c r="H315" s="578"/>
      <c r="I315" s="605"/>
      <c r="J315" s="578"/>
    </row>
    <row r="316">
      <c r="A316" s="578"/>
      <c r="B316" s="658"/>
      <c r="C316" s="659"/>
      <c r="D316" s="659"/>
      <c r="E316" s="660"/>
      <c r="F316" s="605"/>
      <c r="G316" s="658"/>
      <c r="H316" s="578"/>
      <c r="I316" s="605"/>
      <c r="J316" s="578"/>
    </row>
    <row r="317">
      <c r="A317" s="578"/>
      <c r="B317" s="658"/>
      <c r="C317" s="659"/>
      <c r="D317" s="659"/>
      <c r="E317" s="660"/>
      <c r="F317" s="605"/>
      <c r="G317" s="658"/>
      <c r="H317" s="578"/>
      <c r="I317" s="605"/>
      <c r="J317" s="578"/>
    </row>
    <row r="318">
      <c r="A318" s="578"/>
      <c r="B318" s="658"/>
      <c r="C318" s="659"/>
      <c r="D318" s="659"/>
      <c r="E318" s="660"/>
      <c r="F318" s="605"/>
      <c r="G318" s="658"/>
      <c r="H318" s="578"/>
      <c r="I318" s="605"/>
      <c r="J318" s="578"/>
    </row>
    <row r="319">
      <c r="A319" s="578"/>
      <c r="B319" s="658"/>
      <c r="C319" s="659"/>
      <c r="D319" s="659"/>
      <c r="E319" s="660"/>
      <c r="F319" s="605"/>
      <c r="G319" s="658"/>
      <c r="H319" s="578"/>
      <c r="I319" s="605"/>
      <c r="J319" s="578"/>
    </row>
    <row r="320">
      <c r="A320" s="578"/>
      <c r="B320" s="658"/>
      <c r="C320" s="659"/>
      <c r="D320" s="659"/>
      <c r="E320" s="660"/>
      <c r="F320" s="605"/>
      <c r="G320" s="658"/>
      <c r="H320" s="578"/>
      <c r="I320" s="605"/>
      <c r="J320" s="578"/>
    </row>
    <row r="321">
      <c r="A321" s="578"/>
      <c r="B321" s="658"/>
      <c r="C321" s="659"/>
      <c r="D321" s="659"/>
      <c r="E321" s="660"/>
      <c r="F321" s="605"/>
      <c r="G321" s="658"/>
      <c r="H321" s="578"/>
      <c r="I321" s="605"/>
      <c r="J321" s="578"/>
    </row>
    <row r="322">
      <c r="A322" s="578"/>
      <c r="B322" s="658"/>
      <c r="C322" s="659"/>
      <c r="D322" s="659"/>
      <c r="E322" s="660"/>
      <c r="F322" s="605"/>
      <c r="G322" s="658"/>
      <c r="H322" s="578"/>
      <c r="I322" s="605"/>
      <c r="J322" s="578"/>
    </row>
    <row r="323">
      <c r="A323" s="578"/>
      <c r="B323" s="658"/>
      <c r="C323" s="659"/>
      <c r="D323" s="659"/>
      <c r="E323" s="660"/>
      <c r="F323" s="605"/>
      <c r="G323" s="658"/>
      <c r="H323" s="578"/>
      <c r="I323" s="605"/>
      <c r="J323" s="578"/>
    </row>
    <row r="324">
      <c r="A324" s="578"/>
      <c r="B324" s="658"/>
      <c r="C324" s="659"/>
      <c r="D324" s="659"/>
      <c r="E324" s="660"/>
      <c r="F324" s="605"/>
      <c r="G324" s="658"/>
      <c r="H324" s="578"/>
      <c r="I324" s="605"/>
      <c r="J324" s="578"/>
    </row>
    <row r="325">
      <c r="A325" s="578"/>
      <c r="B325" s="658"/>
      <c r="C325" s="659"/>
      <c r="D325" s="659"/>
      <c r="E325" s="660"/>
      <c r="F325" s="605"/>
      <c r="G325" s="658"/>
      <c r="H325" s="578"/>
      <c r="I325" s="605"/>
      <c r="J325" s="578"/>
    </row>
    <row r="326">
      <c r="A326" s="578"/>
      <c r="B326" s="658"/>
      <c r="C326" s="659"/>
      <c r="D326" s="659"/>
      <c r="E326" s="660"/>
      <c r="F326" s="605"/>
      <c r="G326" s="658"/>
      <c r="H326" s="578"/>
      <c r="I326" s="605"/>
      <c r="J326" s="578"/>
    </row>
    <row r="327">
      <c r="A327" s="578"/>
      <c r="B327" s="658"/>
      <c r="C327" s="659"/>
      <c r="D327" s="659"/>
      <c r="E327" s="660"/>
      <c r="F327" s="605"/>
      <c r="G327" s="658"/>
      <c r="H327" s="578"/>
      <c r="I327" s="605"/>
      <c r="J327" s="578"/>
    </row>
    <row r="328">
      <c r="A328" s="578"/>
      <c r="B328" s="658"/>
      <c r="C328" s="659"/>
      <c r="D328" s="659"/>
      <c r="E328" s="660"/>
      <c r="F328" s="605"/>
      <c r="G328" s="658"/>
      <c r="H328" s="578"/>
      <c r="I328" s="605"/>
      <c r="J328" s="578"/>
    </row>
    <row r="329">
      <c r="A329" s="578"/>
      <c r="B329" s="658"/>
      <c r="C329" s="659"/>
      <c r="D329" s="659"/>
      <c r="E329" s="660"/>
      <c r="F329" s="605"/>
      <c r="G329" s="658"/>
      <c r="H329" s="578"/>
      <c r="I329" s="605"/>
      <c r="J329" s="578"/>
    </row>
    <row r="330">
      <c r="A330" s="578"/>
      <c r="B330" s="658"/>
      <c r="C330" s="659"/>
      <c r="D330" s="659"/>
      <c r="E330" s="660"/>
      <c r="F330" s="605"/>
      <c r="G330" s="658"/>
      <c r="H330" s="578"/>
      <c r="I330" s="605"/>
      <c r="J330" s="578"/>
    </row>
    <row r="331">
      <c r="A331" s="578"/>
      <c r="B331" s="658"/>
      <c r="C331" s="659"/>
      <c r="D331" s="659"/>
      <c r="E331" s="660"/>
      <c r="F331" s="605"/>
      <c r="G331" s="658"/>
      <c r="H331" s="578"/>
      <c r="I331" s="605"/>
      <c r="J331" s="578"/>
    </row>
    <row r="332">
      <c r="A332" s="578"/>
      <c r="B332" s="658"/>
      <c r="C332" s="659"/>
      <c r="D332" s="659"/>
      <c r="E332" s="660"/>
      <c r="F332" s="605"/>
      <c r="G332" s="658"/>
      <c r="H332" s="578"/>
      <c r="I332" s="605"/>
      <c r="J332" s="578"/>
    </row>
    <row r="333">
      <c r="A333" s="578"/>
      <c r="B333" s="658"/>
      <c r="C333" s="659"/>
      <c r="D333" s="659"/>
      <c r="E333" s="660"/>
      <c r="F333" s="605"/>
      <c r="G333" s="658"/>
      <c r="H333" s="578"/>
      <c r="I333" s="605"/>
      <c r="J333" s="578"/>
    </row>
    <row r="334">
      <c r="A334" s="578"/>
      <c r="B334" s="658"/>
      <c r="C334" s="659"/>
      <c r="D334" s="659"/>
      <c r="E334" s="660"/>
      <c r="F334" s="605"/>
      <c r="G334" s="658"/>
      <c r="H334" s="578"/>
      <c r="I334" s="605"/>
      <c r="J334" s="578"/>
    </row>
    <row r="335">
      <c r="A335" s="578"/>
      <c r="B335" s="658"/>
      <c r="C335" s="659"/>
      <c r="D335" s="659"/>
      <c r="E335" s="660"/>
      <c r="F335" s="605"/>
      <c r="G335" s="658"/>
      <c r="H335" s="578"/>
      <c r="I335" s="605"/>
      <c r="J335" s="578"/>
    </row>
    <row r="336">
      <c r="A336" s="578"/>
      <c r="B336" s="658"/>
      <c r="C336" s="659"/>
      <c r="D336" s="659"/>
      <c r="E336" s="660"/>
      <c r="F336" s="605"/>
      <c r="G336" s="658"/>
      <c r="H336" s="578"/>
      <c r="I336" s="605"/>
      <c r="J336" s="578"/>
    </row>
    <row r="337">
      <c r="A337" s="578"/>
      <c r="B337" s="658"/>
      <c r="C337" s="659"/>
      <c r="D337" s="659"/>
      <c r="E337" s="660"/>
      <c r="F337" s="605"/>
      <c r="G337" s="658"/>
      <c r="H337" s="578"/>
      <c r="I337" s="605"/>
      <c r="J337" s="578"/>
    </row>
    <row r="338">
      <c r="A338" s="578"/>
      <c r="B338" s="658"/>
      <c r="C338" s="659"/>
      <c r="D338" s="659"/>
      <c r="E338" s="660"/>
      <c r="F338" s="605"/>
      <c r="G338" s="658"/>
      <c r="H338" s="578"/>
      <c r="I338" s="605"/>
      <c r="J338" s="578"/>
    </row>
    <row r="339">
      <c r="A339" s="578"/>
      <c r="B339" s="658"/>
      <c r="C339" s="659"/>
      <c r="D339" s="659"/>
      <c r="E339" s="660"/>
      <c r="F339" s="605"/>
      <c r="G339" s="658"/>
      <c r="H339" s="578"/>
      <c r="I339" s="605"/>
      <c r="J339" s="578"/>
    </row>
    <row r="340">
      <c r="A340" s="578"/>
      <c r="B340" s="658"/>
      <c r="C340" s="659"/>
      <c r="D340" s="659"/>
      <c r="E340" s="660"/>
      <c r="F340" s="605"/>
      <c r="G340" s="658"/>
      <c r="H340" s="578"/>
      <c r="I340" s="605"/>
      <c r="J340" s="578"/>
    </row>
    <row r="341">
      <c r="A341" s="578"/>
      <c r="B341" s="658"/>
      <c r="C341" s="659"/>
      <c r="D341" s="659"/>
      <c r="E341" s="660"/>
      <c r="F341" s="605"/>
      <c r="G341" s="658"/>
      <c r="H341" s="578"/>
      <c r="I341" s="605"/>
      <c r="J341" s="578"/>
    </row>
    <row r="342">
      <c r="A342" s="578"/>
      <c r="B342" s="658"/>
      <c r="C342" s="659"/>
      <c r="D342" s="659"/>
      <c r="E342" s="660"/>
      <c r="F342" s="605"/>
      <c r="G342" s="658"/>
      <c r="H342" s="578"/>
      <c r="I342" s="605"/>
      <c r="J342" s="578"/>
    </row>
    <row r="343">
      <c r="A343" s="578"/>
      <c r="B343" s="658"/>
      <c r="C343" s="659"/>
      <c r="D343" s="659"/>
      <c r="E343" s="660"/>
      <c r="F343" s="605"/>
      <c r="G343" s="658"/>
      <c r="H343" s="578"/>
      <c r="I343" s="605"/>
      <c r="J343" s="578"/>
    </row>
    <row r="344">
      <c r="A344" s="578"/>
      <c r="B344" s="658"/>
      <c r="C344" s="659"/>
      <c r="D344" s="659"/>
      <c r="E344" s="660"/>
      <c r="F344" s="605"/>
      <c r="G344" s="658"/>
      <c r="H344" s="578"/>
      <c r="I344" s="605"/>
      <c r="J344" s="578"/>
    </row>
    <row r="345">
      <c r="A345" s="578"/>
      <c r="B345" s="658"/>
      <c r="C345" s="659"/>
      <c r="D345" s="659"/>
      <c r="E345" s="660"/>
      <c r="F345" s="605"/>
      <c r="G345" s="658"/>
      <c r="H345" s="578"/>
      <c r="I345" s="605"/>
      <c r="J345" s="578"/>
    </row>
    <row r="346">
      <c r="A346" s="578"/>
      <c r="B346" s="658"/>
      <c r="C346" s="659"/>
      <c r="D346" s="659"/>
      <c r="E346" s="660"/>
      <c r="F346" s="605"/>
      <c r="G346" s="658"/>
      <c r="H346" s="578"/>
      <c r="I346" s="605"/>
      <c r="J346" s="578"/>
    </row>
    <row r="347">
      <c r="A347" s="578"/>
      <c r="B347" s="658"/>
      <c r="C347" s="659"/>
      <c r="D347" s="659"/>
      <c r="E347" s="660"/>
      <c r="F347" s="605"/>
      <c r="G347" s="658"/>
      <c r="H347" s="578"/>
      <c r="I347" s="605"/>
      <c r="J347" s="578"/>
    </row>
    <row r="348">
      <c r="A348" s="578"/>
      <c r="B348" s="658"/>
      <c r="C348" s="659"/>
      <c r="D348" s="659"/>
      <c r="E348" s="660"/>
      <c r="F348" s="605"/>
      <c r="G348" s="658"/>
      <c r="H348" s="578"/>
      <c r="I348" s="605"/>
      <c r="J348" s="578"/>
    </row>
    <row r="349">
      <c r="A349" s="578"/>
      <c r="B349" s="658"/>
      <c r="C349" s="659"/>
      <c r="D349" s="659"/>
      <c r="E349" s="660"/>
      <c r="F349" s="605"/>
      <c r="G349" s="658"/>
      <c r="H349" s="578"/>
      <c r="I349" s="605"/>
      <c r="J349" s="578"/>
    </row>
    <row r="350">
      <c r="A350" s="578"/>
      <c r="B350" s="658"/>
      <c r="C350" s="659"/>
      <c r="D350" s="659"/>
      <c r="E350" s="660"/>
      <c r="F350" s="605"/>
      <c r="G350" s="658"/>
      <c r="H350" s="578"/>
      <c r="I350" s="605"/>
      <c r="J350" s="578"/>
    </row>
    <row r="351">
      <c r="A351" s="578"/>
      <c r="B351" s="658"/>
      <c r="C351" s="659"/>
      <c r="D351" s="659"/>
      <c r="E351" s="660"/>
      <c r="F351" s="605"/>
      <c r="G351" s="658"/>
      <c r="H351" s="578"/>
      <c r="I351" s="605"/>
      <c r="J351" s="578"/>
    </row>
    <row r="352">
      <c r="A352" s="578"/>
      <c r="B352" s="658"/>
      <c r="C352" s="659"/>
      <c r="D352" s="659"/>
      <c r="E352" s="660"/>
      <c r="F352" s="605"/>
      <c r="G352" s="658"/>
      <c r="H352" s="578"/>
      <c r="I352" s="605"/>
      <c r="J352" s="578"/>
    </row>
    <row r="353">
      <c r="A353" s="578"/>
      <c r="B353" s="658"/>
      <c r="C353" s="659"/>
      <c r="D353" s="659"/>
      <c r="E353" s="660"/>
      <c r="F353" s="605"/>
      <c r="G353" s="658"/>
      <c r="H353" s="578"/>
      <c r="I353" s="605"/>
      <c r="J353" s="578"/>
    </row>
    <row r="354">
      <c r="A354" s="578"/>
      <c r="B354" s="658"/>
      <c r="C354" s="659"/>
      <c r="D354" s="659"/>
      <c r="E354" s="660"/>
      <c r="F354" s="605"/>
      <c r="G354" s="658"/>
      <c r="H354" s="578"/>
      <c r="I354" s="605"/>
      <c r="J354" s="578"/>
    </row>
    <row r="355">
      <c r="A355" s="578"/>
      <c r="B355" s="658"/>
      <c r="C355" s="659"/>
      <c r="D355" s="659"/>
      <c r="E355" s="660"/>
      <c r="F355" s="605"/>
      <c r="G355" s="658"/>
      <c r="H355" s="578"/>
      <c r="I355" s="605"/>
      <c r="J355" s="578"/>
    </row>
    <row r="356">
      <c r="A356" s="578"/>
      <c r="B356" s="658"/>
      <c r="C356" s="659"/>
      <c r="D356" s="659"/>
      <c r="E356" s="660"/>
      <c r="F356" s="605"/>
      <c r="G356" s="658"/>
      <c r="H356" s="578"/>
      <c r="I356" s="605"/>
      <c r="J356" s="578"/>
    </row>
    <row r="357">
      <c r="A357" s="578"/>
      <c r="B357" s="658"/>
      <c r="C357" s="659"/>
      <c r="D357" s="659"/>
      <c r="E357" s="660"/>
      <c r="F357" s="605"/>
      <c r="G357" s="658"/>
      <c r="H357" s="578"/>
      <c r="I357" s="605"/>
      <c r="J357" s="578"/>
    </row>
    <row r="358">
      <c r="A358" s="578"/>
      <c r="B358" s="658"/>
      <c r="C358" s="659"/>
      <c r="D358" s="659"/>
      <c r="E358" s="660"/>
      <c r="F358" s="605"/>
      <c r="G358" s="658"/>
      <c r="H358" s="578"/>
      <c r="I358" s="605"/>
      <c r="J358" s="578"/>
    </row>
    <row r="359">
      <c r="A359" s="578"/>
      <c r="B359" s="658"/>
      <c r="C359" s="659"/>
      <c r="D359" s="659"/>
      <c r="E359" s="660"/>
      <c r="F359" s="605"/>
      <c r="G359" s="658"/>
      <c r="H359" s="578"/>
      <c r="I359" s="605"/>
      <c r="J359" s="578"/>
    </row>
    <row r="360">
      <c r="A360" s="578"/>
      <c r="B360" s="658"/>
      <c r="C360" s="659"/>
      <c r="D360" s="659"/>
      <c r="E360" s="660"/>
      <c r="F360" s="605"/>
      <c r="G360" s="658"/>
      <c r="H360" s="578"/>
      <c r="I360" s="605"/>
      <c r="J360" s="578"/>
    </row>
    <row r="361">
      <c r="A361" s="578"/>
      <c r="B361" s="658"/>
      <c r="C361" s="659"/>
      <c r="D361" s="659"/>
      <c r="E361" s="660"/>
      <c r="F361" s="605"/>
      <c r="G361" s="658"/>
      <c r="H361" s="578"/>
      <c r="I361" s="605"/>
      <c r="J361" s="578"/>
    </row>
    <row r="362">
      <c r="A362" s="578"/>
      <c r="B362" s="658"/>
      <c r="C362" s="659"/>
      <c r="D362" s="659"/>
      <c r="E362" s="660"/>
      <c r="F362" s="605"/>
      <c r="G362" s="658"/>
      <c r="H362" s="578"/>
      <c r="I362" s="605"/>
      <c r="J362" s="578"/>
    </row>
    <row r="363">
      <c r="A363" s="578"/>
      <c r="B363" s="658"/>
      <c r="C363" s="659"/>
      <c r="D363" s="659"/>
      <c r="E363" s="660"/>
      <c r="F363" s="605"/>
      <c r="G363" s="658"/>
      <c r="H363" s="578"/>
      <c r="I363" s="605"/>
      <c r="J363" s="578"/>
    </row>
    <row r="364">
      <c r="A364" s="578"/>
      <c r="B364" s="658"/>
      <c r="C364" s="659"/>
      <c r="D364" s="659"/>
      <c r="E364" s="660"/>
      <c r="F364" s="605"/>
      <c r="G364" s="658"/>
      <c r="H364" s="578"/>
      <c r="I364" s="605"/>
      <c r="J364" s="578"/>
    </row>
    <row r="365">
      <c r="A365" s="578"/>
      <c r="B365" s="658"/>
      <c r="C365" s="659"/>
      <c r="D365" s="659"/>
      <c r="E365" s="660"/>
      <c r="F365" s="605"/>
      <c r="G365" s="658"/>
      <c r="H365" s="578"/>
      <c r="I365" s="605"/>
      <c r="J365" s="578"/>
    </row>
    <row r="366">
      <c r="A366" s="578"/>
      <c r="B366" s="658"/>
      <c r="C366" s="659"/>
      <c r="D366" s="659"/>
      <c r="E366" s="660"/>
      <c r="F366" s="605"/>
      <c r="G366" s="658"/>
      <c r="H366" s="578"/>
      <c r="I366" s="605"/>
      <c r="J366" s="578"/>
    </row>
    <row r="367">
      <c r="A367" s="578"/>
      <c r="B367" s="658"/>
      <c r="C367" s="659"/>
      <c r="D367" s="659"/>
      <c r="E367" s="660"/>
      <c r="F367" s="605"/>
      <c r="G367" s="658"/>
      <c r="H367" s="578"/>
      <c r="I367" s="605"/>
      <c r="J367" s="578"/>
    </row>
    <row r="368">
      <c r="A368" s="578"/>
      <c r="B368" s="658"/>
      <c r="C368" s="659"/>
      <c r="D368" s="659"/>
      <c r="E368" s="660"/>
      <c r="F368" s="605"/>
      <c r="G368" s="658"/>
      <c r="H368" s="578"/>
      <c r="I368" s="605"/>
      <c r="J368" s="578"/>
    </row>
    <row r="369">
      <c r="A369" s="578"/>
      <c r="B369" s="658"/>
      <c r="C369" s="659"/>
      <c r="D369" s="659"/>
      <c r="E369" s="660"/>
      <c r="F369" s="605"/>
      <c r="G369" s="658"/>
      <c r="H369" s="578"/>
      <c r="I369" s="605"/>
      <c r="J369" s="578"/>
    </row>
    <row r="370">
      <c r="A370" s="578"/>
      <c r="B370" s="658"/>
      <c r="C370" s="659"/>
      <c r="D370" s="659"/>
      <c r="E370" s="660"/>
      <c r="F370" s="605"/>
      <c r="G370" s="658"/>
      <c r="H370" s="578"/>
      <c r="I370" s="605"/>
      <c r="J370" s="578"/>
    </row>
    <row r="371">
      <c r="A371" s="578"/>
      <c r="B371" s="658"/>
      <c r="C371" s="659"/>
      <c r="D371" s="659"/>
      <c r="E371" s="660"/>
      <c r="F371" s="605"/>
      <c r="G371" s="658"/>
      <c r="H371" s="578"/>
      <c r="I371" s="605"/>
      <c r="J371" s="578"/>
    </row>
    <row r="372">
      <c r="A372" s="578"/>
      <c r="B372" s="658"/>
      <c r="C372" s="659"/>
      <c r="D372" s="659"/>
      <c r="E372" s="660"/>
      <c r="F372" s="605"/>
      <c r="G372" s="658"/>
      <c r="H372" s="578"/>
      <c r="I372" s="605"/>
      <c r="J372" s="578"/>
    </row>
    <row r="373">
      <c r="A373" s="578"/>
      <c r="B373" s="658"/>
      <c r="C373" s="659"/>
      <c r="D373" s="659"/>
      <c r="E373" s="660"/>
      <c r="F373" s="605"/>
      <c r="G373" s="658"/>
      <c r="H373" s="578"/>
      <c r="I373" s="605"/>
      <c r="J373" s="578"/>
    </row>
    <row r="374">
      <c r="A374" s="578"/>
      <c r="B374" s="658"/>
      <c r="C374" s="659"/>
      <c r="D374" s="659"/>
      <c r="E374" s="660"/>
      <c r="F374" s="605"/>
      <c r="G374" s="658"/>
      <c r="H374" s="578"/>
      <c r="I374" s="605"/>
      <c r="J374" s="578"/>
    </row>
    <row r="375">
      <c r="A375" s="578"/>
      <c r="B375" s="658"/>
      <c r="C375" s="659"/>
      <c r="D375" s="659"/>
      <c r="E375" s="660"/>
      <c r="F375" s="605"/>
      <c r="G375" s="658"/>
      <c r="H375" s="578"/>
      <c r="I375" s="605"/>
      <c r="J375" s="578"/>
    </row>
    <row r="376">
      <c r="A376" s="578"/>
      <c r="B376" s="658"/>
      <c r="C376" s="659"/>
      <c r="D376" s="659"/>
      <c r="E376" s="660"/>
      <c r="F376" s="605"/>
      <c r="G376" s="658"/>
      <c r="H376" s="578"/>
      <c r="I376" s="605"/>
      <c r="J376" s="578"/>
    </row>
    <row r="377">
      <c r="A377" s="578"/>
      <c r="B377" s="658"/>
      <c r="C377" s="659"/>
      <c r="D377" s="659"/>
      <c r="E377" s="660"/>
      <c r="F377" s="605"/>
      <c r="G377" s="658"/>
      <c r="H377" s="578"/>
      <c r="I377" s="605"/>
      <c r="J377" s="578"/>
    </row>
    <row r="378">
      <c r="A378" s="578"/>
      <c r="B378" s="658"/>
      <c r="C378" s="659"/>
      <c r="D378" s="659"/>
      <c r="E378" s="660"/>
      <c r="F378" s="605"/>
      <c r="G378" s="658"/>
      <c r="H378" s="578"/>
      <c r="I378" s="605"/>
      <c r="J378" s="578"/>
    </row>
    <row r="379">
      <c r="A379" s="578"/>
      <c r="B379" s="658"/>
      <c r="C379" s="659"/>
      <c r="D379" s="659"/>
      <c r="E379" s="660"/>
      <c r="F379" s="605"/>
      <c r="G379" s="658"/>
      <c r="H379" s="578"/>
      <c r="I379" s="605"/>
      <c r="J379" s="578"/>
    </row>
    <row r="380">
      <c r="A380" s="578"/>
      <c r="B380" s="658"/>
      <c r="C380" s="659"/>
      <c r="D380" s="659"/>
      <c r="E380" s="660"/>
      <c r="F380" s="605"/>
      <c r="G380" s="658"/>
      <c r="H380" s="578"/>
      <c r="I380" s="605"/>
      <c r="J380" s="578"/>
    </row>
    <row r="381">
      <c r="A381" s="578"/>
      <c r="B381" s="658"/>
      <c r="C381" s="659"/>
      <c r="D381" s="659"/>
      <c r="E381" s="660"/>
      <c r="F381" s="605"/>
      <c r="G381" s="658"/>
      <c r="H381" s="578"/>
      <c r="I381" s="605"/>
      <c r="J381" s="578"/>
    </row>
    <row r="382">
      <c r="A382" s="578"/>
      <c r="B382" s="658"/>
      <c r="C382" s="659"/>
      <c r="D382" s="659"/>
      <c r="E382" s="660"/>
      <c r="F382" s="605"/>
      <c r="G382" s="658"/>
      <c r="H382" s="578"/>
      <c r="I382" s="605"/>
      <c r="J382" s="578"/>
    </row>
    <row r="383">
      <c r="A383" s="578"/>
      <c r="B383" s="658"/>
      <c r="C383" s="659"/>
      <c r="D383" s="659"/>
      <c r="E383" s="660"/>
      <c r="F383" s="605"/>
      <c r="G383" s="658"/>
      <c r="H383" s="578"/>
      <c r="I383" s="605"/>
      <c r="J383" s="578"/>
    </row>
    <row r="384">
      <c r="A384" s="578"/>
      <c r="B384" s="658"/>
      <c r="C384" s="659"/>
      <c r="D384" s="659"/>
      <c r="E384" s="660"/>
      <c r="F384" s="605"/>
      <c r="G384" s="658"/>
      <c r="H384" s="578"/>
      <c r="I384" s="605"/>
      <c r="J384" s="578"/>
    </row>
    <row r="385">
      <c r="A385" s="578"/>
      <c r="B385" s="658"/>
      <c r="C385" s="659"/>
      <c r="D385" s="659"/>
      <c r="E385" s="660"/>
      <c r="F385" s="605"/>
      <c r="G385" s="658"/>
      <c r="H385" s="578"/>
      <c r="I385" s="605"/>
      <c r="J385" s="578"/>
    </row>
    <row r="386">
      <c r="A386" s="578"/>
      <c r="B386" s="658"/>
      <c r="C386" s="659"/>
      <c r="D386" s="659"/>
      <c r="E386" s="660"/>
      <c r="F386" s="605"/>
      <c r="G386" s="658"/>
      <c r="H386" s="578"/>
      <c r="I386" s="605"/>
      <c r="J386" s="578"/>
    </row>
    <row r="387">
      <c r="A387" s="578"/>
      <c r="B387" s="658"/>
      <c r="C387" s="659"/>
      <c r="D387" s="659"/>
      <c r="E387" s="660"/>
      <c r="F387" s="605"/>
      <c r="G387" s="658"/>
      <c r="H387" s="578"/>
      <c r="I387" s="605"/>
      <c r="J387" s="578"/>
    </row>
    <row r="388">
      <c r="A388" s="578"/>
      <c r="B388" s="658"/>
      <c r="C388" s="659"/>
      <c r="D388" s="659"/>
      <c r="E388" s="660"/>
      <c r="F388" s="605"/>
      <c r="G388" s="658"/>
      <c r="H388" s="578"/>
      <c r="I388" s="605"/>
      <c r="J388" s="578"/>
    </row>
    <row r="389">
      <c r="A389" s="578"/>
      <c r="B389" s="658"/>
      <c r="C389" s="659"/>
      <c r="D389" s="659"/>
      <c r="E389" s="660"/>
      <c r="F389" s="605"/>
      <c r="G389" s="658"/>
      <c r="H389" s="578"/>
      <c r="I389" s="605"/>
      <c r="J389" s="578"/>
    </row>
    <row r="390">
      <c r="A390" s="578"/>
      <c r="B390" s="658"/>
      <c r="C390" s="659"/>
      <c r="D390" s="659"/>
      <c r="E390" s="660"/>
      <c r="F390" s="605"/>
      <c r="G390" s="658"/>
      <c r="H390" s="578"/>
      <c r="I390" s="605"/>
      <c r="J390" s="578"/>
    </row>
    <row r="391">
      <c r="A391" s="578"/>
      <c r="B391" s="658"/>
      <c r="C391" s="659"/>
      <c r="D391" s="659"/>
      <c r="E391" s="660"/>
      <c r="F391" s="605"/>
      <c r="G391" s="658"/>
      <c r="H391" s="578"/>
      <c r="I391" s="605"/>
      <c r="J391" s="578"/>
    </row>
    <row r="392">
      <c r="A392" s="578"/>
      <c r="B392" s="658"/>
      <c r="C392" s="659"/>
      <c r="D392" s="659"/>
      <c r="E392" s="660"/>
      <c r="F392" s="605"/>
      <c r="G392" s="658"/>
      <c r="H392" s="578"/>
      <c r="I392" s="605"/>
      <c r="J392" s="578"/>
    </row>
    <row r="393">
      <c r="A393" s="578"/>
      <c r="B393" s="658"/>
      <c r="C393" s="659"/>
      <c r="D393" s="659"/>
      <c r="E393" s="660"/>
      <c r="F393" s="605"/>
      <c r="G393" s="658"/>
      <c r="H393" s="578"/>
      <c r="I393" s="605"/>
      <c r="J393" s="578"/>
    </row>
    <row r="394">
      <c r="A394" s="578"/>
      <c r="B394" s="658"/>
      <c r="C394" s="659"/>
      <c r="D394" s="659"/>
      <c r="E394" s="660"/>
      <c r="F394" s="605"/>
      <c r="G394" s="658"/>
      <c r="H394" s="578"/>
      <c r="I394" s="605"/>
      <c r="J394" s="578"/>
    </row>
    <row r="395">
      <c r="A395" s="578"/>
      <c r="B395" s="658"/>
      <c r="C395" s="659"/>
      <c r="D395" s="659"/>
      <c r="E395" s="660"/>
      <c r="F395" s="605"/>
      <c r="G395" s="658"/>
      <c r="H395" s="578"/>
      <c r="I395" s="605"/>
      <c r="J395" s="578"/>
    </row>
    <row r="396">
      <c r="A396" s="578"/>
      <c r="B396" s="658"/>
      <c r="C396" s="659"/>
      <c r="D396" s="659"/>
      <c r="E396" s="660"/>
      <c r="F396" s="605"/>
      <c r="G396" s="658"/>
      <c r="H396" s="578"/>
      <c r="I396" s="605"/>
      <c r="J396" s="578"/>
    </row>
    <row r="397">
      <c r="A397" s="578"/>
      <c r="B397" s="658"/>
      <c r="C397" s="659"/>
      <c r="D397" s="659"/>
      <c r="E397" s="660"/>
      <c r="F397" s="605"/>
      <c r="G397" s="658"/>
      <c r="H397" s="578"/>
      <c r="I397" s="605"/>
      <c r="J397" s="578"/>
    </row>
    <row r="398">
      <c r="A398" s="578"/>
      <c r="B398" s="658"/>
      <c r="C398" s="659"/>
      <c r="D398" s="659"/>
      <c r="E398" s="660"/>
      <c r="F398" s="605"/>
      <c r="G398" s="658"/>
      <c r="H398" s="578"/>
      <c r="I398" s="605"/>
      <c r="J398" s="578"/>
    </row>
    <row r="399">
      <c r="A399" s="578"/>
      <c r="B399" s="658"/>
      <c r="C399" s="659"/>
      <c r="D399" s="659"/>
      <c r="E399" s="660"/>
      <c r="F399" s="605"/>
      <c r="G399" s="658"/>
      <c r="H399" s="578"/>
      <c r="I399" s="605"/>
      <c r="J399" s="578"/>
    </row>
    <row r="400">
      <c r="A400" s="578"/>
      <c r="B400" s="658"/>
      <c r="C400" s="659"/>
      <c r="D400" s="659"/>
      <c r="E400" s="660"/>
      <c r="F400" s="605"/>
      <c r="G400" s="658"/>
      <c r="H400" s="578"/>
      <c r="I400" s="605"/>
      <c r="J400" s="578"/>
    </row>
    <row r="401">
      <c r="A401" s="578"/>
      <c r="B401" s="658"/>
      <c r="C401" s="659"/>
      <c r="D401" s="659"/>
      <c r="E401" s="660"/>
      <c r="F401" s="605"/>
      <c r="G401" s="658"/>
      <c r="H401" s="578"/>
      <c r="I401" s="605"/>
      <c r="J401" s="578"/>
    </row>
    <row r="402">
      <c r="A402" s="578"/>
      <c r="B402" s="658"/>
      <c r="C402" s="659"/>
      <c r="D402" s="659"/>
      <c r="E402" s="660"/>
      <c r="F402" s="605"/>
      <c r="G402" s="658"/>
      <c r="H402" s="578"/>
      <c r="I402" s="605"/>
      <c r="J402" s="578"/>
    </row>
    <row r="403">
      <c r="A403" s="578"/>
      <c r="B403" s="658"/>
      <c r="C403" s="659"/>
      <c r="D403" s="659"/>
      <c r="E403" s="660"/>
      <c r="F403" s="605"/>
      <c r="G403" s="658"/>
      <c r="H403" s="578"/>
      <c r="I403" s="605"/>
      <c r="J403" s="578"/>
    </row>
    <row r="404">
      <c r="A404" s="578"/>
      <c r="B404" s="658"/>
      <c r="C404" s="659"/>
      <c r="D404" s="659"/>
      <c r="E404" s="660"/>
      <c r="F404" s="605"/>
      <c r="G404" s="658"/>
      <c r="H404" s="578"/>
      <c r="I404" s="605"/>
      <c r="J404" s="578"/>
    </row>
    <row r="405">
      <c r="A405" s="578"/>
      <c r="B405" s="658"/>
      <c r="C405" s="659"/>
      <c r="D405" s="659"/>
      <c r="E405" s="660"/>
      <c r="F405" s="605"/>
      <c r="G405" s="658"/>
      <c r="H405" s="578"/>
      <c r="I405" s="605"/>
      <c r="J405" s="578"/>
    </row>
    <row r="406">
      <c r="A406" s="578"/>
      <c r="B406" s="658"/>
      <c r="C406" s="659"/>
      <c r="D406" s="659"/>
      <c r="E406" s="660"/>
      <c r="F406" s="605"/>
      <c r="G406" s="658"/>
      <c r="H406" s="578"/>
      <c r="I406" s="605"/>
      <c r="J406" s="578"/>
    </row>
    <row r="407">
      <c r="A407" s="578"/>
      <c r="B407" s="658"/>
      <c r="C407" s="659"/>
      <c r="D407" s="659"/>
      <c r="E407" s="660"/>
      <c r="F407" s="605"/>
      <c r="G407" s="658"/>
      <c r="H407" s="578"/>
      <c r="I407" s="605"/>
      <c r="J407" s="578"/>
    </row>
    <row r="408">
      <c r="A408" s="578"/>
      <c r="B408" s="658"/>
      <c r="C408" s="659"/>
      <c r="D408" s="659"/>
      <c r="E408" s="660"/>
      <c r="F408" s="605"/>
      <c r="G408" s="658"/>
      <c r="H408" s="578"/>
      <c r="I408" s="605"/>
      <c r="J408" s="578"/>
    </row>
    <row r="409">
      <c r="A409" s="578"/>
      <c r="B409" s="658"/>
      <c r="C409" s="659"/>
      <c r="D409" s="659"/>
      <c r="E409" s="660"/>
      <c r="F409" s="605"/>
      <c r="G409" s="658"/>
      <c r="H409" s="578"/>
      <c r="I409" s="605"/>
      <c r="J409" s="578"/>
    </row>
    <row r="410">
      <c r="A410" s="578"/>
      <c r="B410" s="658"/>
      <c r="C410" s="659"/>
      <c r="D410" s="659"/>
      <c r="E410" s="660"/>
      <c r="F410" s="605"/>
      <c r="G410" s="658"/>
      <c r="H410" s="578"/>
      <c r="I410" s="605"/>
      <c r="J410" s="578"/>
    </row>
    <row r="411">
      <c r="A411" s="578"/>
      <c r="B411" s="658"/>
      <c r="C411" s="659"/>
      <c r="D411" s="659"/>
      <c r="E411" s="660"/>
      <c r="F411" s="605"/>
      <c r="G411" s="658"/>
      <c r="H411" s="578"/>
      <c r="I411" s="605"/>
      <c r="J411" s="578"/>
    </row>
    <row r="412">
      <c r="A412" s="578"/>
      <c r="B412" s="658"/>
      <c r="C412" s="659"/>
      <c r="D412" s="659"/>
      <c r="E412" s="660"/>
      <c r="F412" s="605"/>
      <c r="G412" s="658"/>
      <c r="H412" s="578"/>
      <c r="I412" s="605"/>
      <c r="J412" s="578"/>
    </row>
    <row r="413">
      <c r="A413" s="578"/>
      <c r="B413" s="658"/>
      <c r="C413" s="659"/>
      <c r="D413" s="659"/>
      <c r="E413" s="660"/>
      <c r="F413" s="605"/>
      <c r="G413" s="658"/>
      <c r="H413" s="578"/>
      <c r="I413" s="605"/>
      <c r="J413" s="578"/>
    </row>
    <row r="414">
      <c r="A414" s="578"/>
      <c r="B414" s="658"/>
      <c r="C414" s="659"/>
      <c r="D414" s="659"/>
      <c r="E414" s="660"/>
      <c r="F414" s="605"/>
      <c r="G414" s="658"/>
      <c r="H414" s="578"/>
      <c r="I414" s="605"/>
      <c r="J414" s="578"/>
    </row>
    <row r="415">
      <c r="A415" s="578"/>
      <c r="B415" s="658"/>
      <c r="C415" s="659"/>
      <c r="D415" s="659"/>
      <c r="E415" s="660"/>
      <c r="F415" s="605"/>
      <c r="G415" s="658"/>
      <c r="H415" s="578"/>
      <c r="I415" s="605"/>
      <c r="J415" s="578"/>
    </row>
    <row r="416">
      <c r="A416" s="578"/>
      <c r="B416" s="658"/>
      <c r="C416" s="659"/>
      <c r="D416" s="659"/>
      <c r="E416" s="660"/>
      <c r="F416" s="605"/>
      <c r="G416" s="658"/>
      <c r="H416" s="578"/>
      <c r="I416" s="605"/>
      <c r="J416" s="578"/>
    </row>
    <row r="417">
      <c r="A417" s="578"/>
      <c r="B417" s="658"/>
      <c r="C417" s="659"/>
      <c r="D417" s="659"/>
      <c r="E417" s="660"/>
      <c r="F417" s="605"/>
      <c r="G417" s="658"/>
      <c r="H417" s="578"/>
      <c r="I417" s="605"/>
      <c r="J417" s="578"/>
    </row>
    <row r="418">
      <c r="A418" s="578"/>
      <c r="B418" s="658"/>
      <c r="C418" s="659"/>
      <c r="D418" s="659"/>
      <c r="E418" s="660"/>
      <c r="F418" s="605"/>
      <c r="G418" s="658"/>
      <c r="H418" s="578"/>
      <c r="I418" s="605"/>
      <c r="J418" s="578"/>
    </row>
    <row r="419">
      <c r="A419" s="578"/>
      <c r="B419" s="658"/>
      <c r="C419" s="659"/>
      <c r="D419" s="659"/>
      <c r="E419" s="660"/>
      <c r="F419" s="605"/>
      <c r="G419" s="658"/>
      <c r="H419" s="578"/>
      <c r="I419" s="605"/>
      <c r="J419" s="578"/>
    </row>
    <row r="420">
      <c r="A420" s="578"/>
      <c r="B420" s="658"/>
      <c r="C420" s="659"/>
      <c r="D420" s="659"/>
      <c r="E420" s="660"/>
      <c r="F420" s="605"/>
      <c r="G420" s="658"/>
      <c r="H420" s="578"/>
      <c r="I420" s="605"/>
      <c r="J420" s="578"/>
    </row>
    <row r="421">
      <c r="A421" s="578"/>
      <c r="B421" s="658"/>
      <c r="C421" s="659"/>
      <c r="D421" s="659"/>
      <c r="E421" s="660"/>
      <c r="F421" s="605"/>
      <c r="G421" s="658"/>
      <c r="H421" s="578"/>
      <c r="I421" s="605"/>
      <c r="J421" s="578"/>
    </row>
    <row r="422">
      <c r="A422" s="578"/>
      <c r="B422" s="658"/>
      <c r="C422" s="659"/>
      <c r="D422" s="659"/>
      <c r="E422" s="660"/>
      <c r="F422" s="605"/>
      <c r="G422" s="658"/>
      <c r="H422" s="578"/>
      <c r="I422" s="605"/>
      <c r="J422" s="578"/>
    </row>
    <row r="423">
      <c r="A423" s="578"/>
      <c r="B423" s="658"/>
      <c r="C423" s="659"/>
      <c r="D423" s="659"/>
      <c r="E423" s="660"/>
      <c r="F423" s="605"/>
      <c r="G423" s="658"/>
      <c r="H423" s="578"/>
      <c r="I423" s="605"/>
      <c r="J423" s="578"/>
    </row>
    <row r="424">
      <c r="A424" s="578"/>
      <c r="B424" s="658"/>
      <c r="C424" s="659"/>
      <c r="D424" s="659"/>
      <c r="E424" s="660"/>
      <c r="F424" s="605"/>
      <c r="G424" s="658"/>
      <c r="H424" s="578"/>
      <c r="I424" s="605"/>
      <c r="J424" s="578"/>
    </row>
    <row r="425">
      <c r="A425" s="578"/>
      <c r="B425" s="658"/>
      <c r="C425" s="659"/>
      <c r="D425" s="659"/>
      <c r="E425" s="660"/>
      <c r="F425" s="605"/>
      <c r="G425" s="658"/>
      <c r="H425" s="578"/>
      <c r="I425" s="605"/>
      <c r="J425" s="578"/>
    </row>
    <row r="426">
      <c r="A426" s="578"/>
      <c r="B426" s="658"/>
      <c r="C426" s="659"/>
      <c r="D426" s="659"/>
      <c r="E426" s="660"/>
      <c r="F426" s="605"/>
      <c r="G426" s="658"/>
      <c r="H426" s="578"/>
      <c r="I426" s="605"/>
      <c r="J426" s="578"/>
    </row>
    <row r="427">
      <c r="A427" s="578"/>
      <c r="B427" s="658"/>
      <c r="C427" s="659"/>
      <c r="D427" s="659"/>
      <c r="E427" s="660"/>
      <c r="F427" s="605"/>
      <c r="G427" s="658"/>
      <c r="H427" s="578"/>
      <c r="I427" s="605"/>
      <c r="J427" s="578"/>
    </row>
    <row r="428">
      <c r="A428" s="578"/>
      <c r="B428" s="658"/>
      <c r="C428" s="659"/>
      <c r="D428" s="659"/>
      <c r="E428" s="660"/>
      <c r="F428" s="605"/>
      <c r="G428" s="658"/>
      <c r="H428" s="578"/>
      <c r="I428" s="605"/>
      <c r="J428" s="578"/>
    </row>
    <row r="429">
      <c r="A429" s="578"/>
      <c r="B429" s="658"/>
      <c r="C429" s="659"/>
      <c r="D429" s="659"/>
      <c r="E429" s="660"/>
      <c r="F429" s="605"/>
      <c r="G429" s="658"/>
      <c r="H429" s="578"/>
      <c r="I429" s="605"/>
      <c r="J429" s="578"/>
    </row>
    <row r="430">
      <c r="A430" s="578"/>
      <c r="B430" s="658"/>
      <c r="C430" s="659"/>
      <c r="D430" s="659"/>
      <c r="E430" s="660"/>
      <c r="F430" s="605"/>
      <c r="G430" s="658"/>
      <c r="H430" s="578"/>
      <c r="I430" s="605"/>
      <c r="J430" s="578"/>
    </row>
    <row r="431">
      <c r="A431" s="578"/>
      <c r="B431" s="658"/>
      <c r="C431" s="659"/>
      <c r="D431" s="659"/>
      <c r="E431" s="660"/>
      <c r="F431" s="605"/>
      <c r="G431" s="658"/>
      <c r="H431" s="578"/>
      <c r="I431" s="605"/>
      <c r="J431" s="578"/>
    </row>
    <row r="432">
      <c r="A432" s="578"/>
      <c r="B432" s="658"/>
      <c r="C432" s="659"/>
      <c r="D432" s="659"/>
      <c r="E432" s="660"/>
      <c r="F432" s="605"/>
      <c r="G432" s="658"/>
      <c r="H432" s="578"/>
      <c r="I432" s="605"/>
      <c r="J432" s="578"/>
    </row>
    <row r="433">
      <c r="A433" s="578"/>
      <c r="B433" s="658"/>
      <c r="C433" s="659"/>
      <c r="D433" s="659"/>
      <c r="E433" s="660"/>
      <c r="F433" s="605"/>
      <c r="G433" s="658"/>
      <c r="H433" s="578"/>
      <c r="I433" s="605"/>
      <c r="J433" s="578"/>
    </row>
    <row r="434">
      <c r="A434" s="578"/>
      <c r="B434" s="658"/>
      <c r="C434" s="659"/>
      <c r="D434" s="659"/>
      <c r="E434" s="660"/>
      <c r="F434" s="605"/>
      <c r="G434" s="658"/>
      <c r="H434" s="578"/>
      <c r="I434" s="605"/>
      <c r="J434" s="578"/>
    </row>
    <row r="435">
      <c r="A435" s="578"/>
      <c r="B435" s="658"/>
      <c r="C435" s="659"/>
      <c r="D435" s="659"/>
      <c r="E435" s="660"/>
      <c r="F435" s="605"/>
      <c r="G435" s="658"/>
      <c r="H435" s="578"/>
      <c r="I435" s="605"/>
      <c r="J435" s="578"/>
    </row>
    <row r="436">
      <c r="A436" s="578"/>
      <c r="B436" s="658"/>
      <c r="C436" s="659"/>
      <c r="D436" s="659"/>
      <c r="E436" s="660"/>
      <c r="F436" s="605"/>
      <c r="G436" s="658"/>
      <c r="H436" s="578"/>
      <c r="I436" s="605"/>
      <c r="J436" s="578"/>
    </row>
    <row r="437">
      <c r="A437" s="578"/>
      <c r="B437" s="658"/>
      <c r="C437" s="659"/>
      <c r="D437" s="659"/>
      <c r="E437" s="660"/>
      <c r="F437" s="605"/>
      <c r="G437" s="658"/>
      <c r="H437" s="578"/>
      <c r="I437" s="605"/>
      <c r="J437" s="578"/>
    </row>
    <row r="438">
      <c r="A438" s="578"/>
      <c r="B438" s="658"/>
      <c r="C438" s="659"/>
      <c r="D438" s="659"/>
      <c r="E438" s="660"/>
      <c r="F438" s="605"/>
      <c r="G438" s="658"/>
      <c r="H438" s="578"/>
      <c r="I438" s="605"/>
      <c r="J438" s="578"/>
    </row>
    <row r="439">
      <c r="A439" s="578"/>
      <c r="B439" s="658"/>
      <c r="C439" s="659"/>
      <c r="D439" s="659"/>
      <c r="E439" s="660"/>
      <c r="F439" s="605"/>
      <c r="G439" s="658"/>
      <c r="H439" s="578"/>
      <c r="I439" s="605"/>
      <c r="J439" s="578"/>
    </row>
    <row r="440">
      <c r="A440" s="578"/>
      <c r="B440" s="658"/>
      <c r="C440" s="659"/>
      <c r="D440" s="659"/>
      <c r="E440" s="660"/>
      <c r="F440" s="605"/>
      <c r="G440" s="658"/>
      <c r="H440" s="578"/>
      <c r="I440" s="605"/>
      <c r="J440" s="578"/>
    </row>
    <row r="441">
      <c r="A441" s="578"/>
      <c r="B441" s="658"/>
      <c r="C441" s="659"/>
      <c r="D441" s="659"/>
      <c r="E441" s="660"/>
      <c r="F441" s="605"/>
      <c r="G441" s="658"/>
      <c r="H441" s="578"/>
      <c r="I441" s="605"/>
      <c r="J441" s="578"/>
    </row>
    <row r="442">
      <c r="A442" s="578"/>
      <c r="B442" s="658"/>
      <c r="C442" s="659"/>
      <c r="D442" s="659"/>
      <c r="E442" s="660"/>
      <c r="F442" s="605"/>
      <c r="G442" s="658"/>
      <c r="H442" s="578"/>
      <c r="I442" s="605"/>
      <c r="J442" s="578"/>
    </row>
    <row r="443">
      <c r="A443" s="578"/>
      <c r="B443" s="658"/>
      <c r="C443" s="659"/>
      <c r="D443" s="659"/>
      <c r="E443" s="660"/>
      <c r="F443" s="605"/>
      <c r="G443" s="658"/>
      <c r="H443" s="578"/>
      <c r="I443" s="605"/>
      <c r="J443" s="578"/>
    </row>
    <row r="444">
      <c r="A444" s="578"/>
      <c r="B444" s="658"/>
      <c r="C444" s="659"/>
      <c r="D444" s="659"/>
      <c r="E444" s="660"/>
      <c r="F444" s="605"/>
      <c r="G444" s="658"/>
      <c r="H444" s="578"/>
      <c r="I444" s="605"/>
      <c r="J444" s="578"/>
    </row>
    <row r="445">
      <c r="A445" s="578"/>
      <c r="B445" s="658"/>
      <c r="C445" s="659"/>
      <c r="D445" s="659"/>
      <c r="E445" s="660"/>
      <c r="F445" s="605"/>
      <c r="G445" s="658"/>
      <c r="H445" s="578"/>
      <c r="I445" s="605"/>
      <c r="J445" s="578"/>
    </row>
    <row r="446">
      <c r="A446" s="578"/>
      <c r="B446" s="658"/>
      <c r="C446" s="659"/>
      <c r="D446" s="659"/>
      <c r="E446" s="660"/>
      <c r="F446" s="605"/>
      <c r="G446" s="658"/>
      <c r="H446" s="578"/>
      <c r="I446" s="605"/>
      <c r="J446" s="578"/>
    </row>
    <row r="447">
      <c r="A447" s="578"/>
      <c r="B447" s="658"/>
      <c r="C447" s="659"/>
      <c r="D447" s="659"/>
      <c r="E447" s="660"/>
      <c r="F447" s="605"/>
      <c r="G447" s="658"/>
      <c r="H447" s="578"/>
      <c r="I447" s="605"/>
      <c r="J447" s="578"/>
    </row>
    <row r="448">
      <c r="A448" s="578"/>
      <c r="B448" s="658"/>
      <c r="C448" s="659"/>
      <c r="D448" s="659"/>
      <c r="E448" s="660"/>
      <c r="F448" s="605"/>
      <c r="G448" s="658"/>
      <c r="H448" s="578"/>
      <c r="I448" s="605"/>
      <c r="J448" s="578"/>
    </row>
    <row r="449">
      <c r="A449" s="578"/>
      <c r="B449" s="658"/>
      <c r="C449" s="659"/>
      <c r="D449" s="659"/>
      <c r="E449" s="660"/>
      <c r="F449" s="605"/>
      <c r="G449" s="658"/>
      <c r="H449" s="578"/>
      <c r="I449" s="605"/>
      <c r="J449" s="578"/>
    </row>
    <row r="450">
      <c r="A450" s="578"/>
      <c r="B450" s="658"/>
      <c r="C450" s="659"/>
      <c r="D450" s="659"/>
      <c r="E450" s="660"/>
      <c r="F450" s="605"/>
      <c r="G450" s="658"/>
      <c r="H450" s="578"/>
      <c r="I450" s="605"/>
      <c r="J450" s="578"/>
    </row>
    <row r="451">
      <c r="A451" s="578"/>
      <c r="B451" s="658"/>
      <c r="C451" s="659"/>
      <c r="D451" s="659"/>
      <c r="E451" s="660"/>
      <c r="F451" s="605"/>
      <c r="G451" s="658"/>
      <c r="H451" s="578"/>
      <c r="I451" s="605"/>
      <c r="J451" s="578"/>
    </row>
    <row r="452">
      <c r="A452" s="578"/>
      <c r="B452" s="658"/>
      <c r="C452" s="659"/>
      <c r="D452" s="659"/>
      <c r="E452" s="660"/>
      <c r="F452" s="605"/>
      <c r="G452" s="658"/>
      <c r="H452" s="578"/>
      <c r="I452" s="605"/>
      <c r="J452" s="578"/>
    </row>
    <row r="453">
      <c r="A453" s="578"/>
      <c r="B453" s="658"/>
      <c r="C453" s="659"/>
      <c r="D453" s="659"/>
      <c r="E453" s="660"/>
      <c r="F453" s="605"/>
      <c r="G453" s="658"/>
      <c r="H453" s="578"/>
      <c r="I453" s="605"/>
      <c r="J453" s="578"/>
    </row>
    <row r="454">
      <c r="A454" s="578"/>
      <c r="B454" s="658"/>
      <c r="C454" s="659"/>
      <c r="D454" s="659"/>
      <c r="E454" s="660"/>
      <c r="F454" s="605"/>
      <c r="G454" s="658"/>
      <c r="H454" s="578"/>
      <c r="I454" s="605"/>
      <c r="J454" s="578"/>
    </row>
    <row r="455">
      <c r="A455" s="578"/>
      <c r="B455" s="658"/>
      <c r="C455" s="659"/>
      <c r="D455" s="659"/>
      <c r="E455" s="660"/>
      <c r="F455" s="605"/>
      <c r="G455" s="658"/>
      <c r="H455" s="578"/>
      <c r="I455" s="605"/>
      <c r="J455" s="578"/>
    </row>
    <row r="456">
      <c r="A456" s="578"/>
      <c r="B456" s="658"/>
      <c r="C456" s="659"/>
      <c r="D456" s="659"/>
      <c r="E456" s="660"/>
      <c r="F456" s="605"/>
      <c r="G456" s="658"/>
      <c r="H456" s="578"/>
      <c r="I456" s="605"/>
      <c r="J456" s="578"/>
    </row>
    <row r="457">
      <c r="A457" s="578"/>
      <c r="B457" s="658"/>
      <c r="C457" s="659"/>
      <c r="D457" s="659"/>
      <c r="E457" s="660"/>
      <c r="F457" s="605"/>
      <c r="G457" s="658"/>
      <c r="H457" s="578"/>
      <c r="I457" s="605"/>
      <c r="J457" s="578"/>
    </row>
    <row r="458">
      <c r="A458" s="578"/>
      <c r="B458" s="658"/>
      <c r="C458" s="659"/>
      <c r="D458" s="659"/>
      <c r="E458" s="660"/>
      <c r="F458" s="605"/>
      <c r="G458" s="658"/>
      <c r="H458" s="578"/>
      <c r="I458" s="605"/>
      <c r="J458" s="578"/>
    </row>
    <row r="459">
      <c r="A459" s="578"/>
      <c r="B459" s="658"/>
      <c r="C459" s="659"/>
      <c r="D459" s="659"/>
      <c r="E459" s="660"/>
      <c r="F459" s="605"/>
      <c r="G459" s="658"/>
      <c r="H459" s="578"/>
      <c r="I459" s="605"/>
      <c r="J459" s="578"/>
    </row>
    <row r="460">
      <c r="A460" s="578"/>
      <c r="B460" s="658"/>
      <c r="C460" s="659"/>
      <c r="D460" s="659"/>
      <c r="E460" s="660"/>
      <c r="F460" s="605"/>
      <c r="G460" s="658"/>
      <c r="H460" s="578"/>
      <c r="I460" s="605"/>
      <c r="J460" s="578"/>
    </row>
    <row r="461">
      <c r="A461" s="578"/>
      <c r="B461" s="658"/>
      <c r="C461" s="659"/>
      <c r="D461" s="659"/>
      <c r="E461" s="660"/>
      <c r="F461" s="605"/>
      <c r="G461" s="658"/>
      <c r="H461" s="578"/>
      <c r="I461" s="605"/>
      <c r="J461" s="578"/>
    </row>
    <row r="462">
      <c r="A462" s="578"/>
      <c r="B462" s="658"/>
      <c r="C462" s="659"/>
      <c r="D462" s="659"/>
      <c r="E462" s="660"/>
      <c r="F462" s="605"/>
      <c r="G462" s="658"/>
      <c r="H462" s="578"/>
      <c r="I462" s="605"/>
      <c r="J462" s="578"/>
    </row>
    <row r="463">
      <c r="A463" s="578"/>
      <c r="B463" s="658"/>
      <c r="C463" s="659"/>
      <c r="D463" s="659"/>
      <c r="E463" s="660"/>
      <c r="F463" s="605"/>
      <c r="G463" s="658"/>
      <c r="H463" s="578"/>
      <c r="I463" s="605"/>
      <c r="J463" s="578"/>
    </row>
    <row r="464">
      <c r="A464" s="578"/>
      <c r="B464" s="658"/>
      <c r="C464" s="659"/>
      <c r="D464" s="659"/>
      <c r="E464" s="660"/>
      <c r="F464" s="605"/>
      <c r="G464" s="658"/>
      <c r="H464" s="578"/>
      <c r="I464" s="605"/>
      <c r="J464" s="578"/>
    </row>
    <row r="465">
      <c r="A465" s="578"/>
      <c r="B465" s="658"/>
      <c r="C465" s="659"/>
      <c r="D465" s="659"/>
      <c r="E465" s="660"/>
      <c r="F465" s="605"/>
      <c r="G465" s="658"/>
      <c r="H465" s="578"/>
      <c r="I465" s="605"/>
      <c r="J465" s="578"/>
    </row>
    <row r="466">
      <c r="A466" s="578"/>
      <c r="B466" s="658"/>
      <c r="C466" s="659"/>
      <c r="D466" s="659"/>
      <c r="E466" s="660"/>
      <c r="F466" s="605"/>
      <c r="G466" s="658"/>
      <c r="H466" s="578"/>
      <c r="I466" s="605"/>
      <c r="J466" s="578"/>
    </row>
    <row r="467">
      <c r="A467" s="578"/>
      <c r="B467" s="658"/>
      <c r="C467" s="659"/>
      <c r="D467" s="659"/>
      <c r="E467" s="660"/>
      <c r="F467" s="605"/>
      <c r="G467" s="658"/>
      <c r="H467" s="578"/>
      <c r="I467" s="605"/>
      <c r="J467" s="578"/>
    </row>
    <row r="468">
      <c r="A468" s="578"/>
      <c r="B468" s="658"/>
      <c r="C468" s="659"/>
      <c r="D468" s="659"/>
      <c r="E468" s="660"/>
      <c r="F468" s="605"/>
      <c r="G468" s="658"/>
      <c r="H468" s="578"/>
      <c r="I468" s="605"/>
      <c r="J468" s="578"/>
    </row>
    <row r="469">
      <c r="A469" s="578"/>
      <c r="B469" s="658"/>
      <c r="C469" s="659"/>
      <c r="D469" s="659"/>
      <c r="E469" s="660"/>
      <c r="F469" s="605"/>
      <c r="G469" s="658"/>
      <c r="H469" s="578"/>
      <c r="I469" s="605"/>
      <c r="J469" s="578"/>
    </row>
    <row r="470">
      <c r="A470" s="578"/>
      <c r="B470" s="658"/>
      <c r="C470" s="659"/>
      <c r="D470" s="659"/>
      <c r="E470" s="660"/>
      <c r="F470" s="605"/>
      <c r="G470" s="658"/>
      <c r="H470" s="578"/>
      <c r="I470" s="605"/>
      <c r="J470" s="578"/>
    </row>
    <row r="471">
      <c r="A471" s="578"/>
      <c r="B471" s="658"/>
      <c r="C471" s="659"/>
      <c r="D471" s="659"/>
      <c r="E471" s="660"/>
      <c r="F471" s="605"/>
      <c r="G471" s="658"/>
      <c r="H471" s="578"/>
      <c r="I471" s="605"/>
      <c r="J471" s="578"/>
    </row>
    <row r="472">
      <c r="A472" s="578"/>
      <c r="B472" s="658"/>
      <c r="C472" s="659"/>
      <c r="D472" s="659"/>
      <c r="E472" s="660"/>
      <c r="F472" s="605"/>
      <c r="G472" s="658"/>
      <c r="H472" s="578"/>
      <c r="I472" s="605"/>
      <c r="J472" s="578"/>
    </row>
    <row r="473">
      <c r="A473" s="578"/>
      <c r="B473" s="658"/>
      <c r="C473" s="659"/>
      <c r="D473" s="659"/>
      <c r="E473" s="660"/>
      <c r="F473" s="605"/>
      <c r="G473" s="658"/>
      <c r="H473" s="578"/>
      <c r="I473" s="605"/>
      <c r="J473" s="578"/>
    </row>
    <row r="474">
      <c r="A474" s="578"/>
      <c r="B474" s="658"/>
      <c r="C474" s="659"/>
      <c r="D474" s="659"/>
      <c r="E474" s="660"/>
      <c r="F474" s="605"/>
      <c r="G474" s="658"/>
      <c r="H474" s="578"/>
      <c r="I474" s="605"/>
      <c r="J474" s="578"/>
    </row>
    <row r="475">
      <c r="A475" s="578"/>
      <c r="B475" s="658"/>
      <c r="C475" s="659"/>
      <c r="D475" s="659"/>
      <c r="E475" s="660"/>
      <c r="F475" s="605"/>
      <c r="G475" s="658"/>
      <c r="H475" s="578"/>
      <c r="I475" s="605"/>
      <c r="J475" s="578"/>
    </row>
    <row r="476">
      <c r="A476" s="578"/>
      <c r="B476" s="658"/>
      <c r="C476" s="659"/>
      <c r="D476" s="659"/>
      <c r="E476" s="660"/>
      <c r="F476" s="605"/>
      <c r="G476" s="658"/>
      <c r="H476" s="578"/>
      <c r="I476" s="605"/>
      <c r="J476" s="578"/>
    </row>
    <row r="477">
      <c r="A477" s="578"/>
      <c r="B477" s="658"/>
      <c r="C477" s="659"/>
      <c r="D477" s="659"/>
      <c r="E477" s="660"/>
      <c r="F477" s="605"/>
      <c r="G477" s="658"/>
      <c r="H477" s="578"/>
      <c r="I477" s="605"/>
      <c r="J477" s="578"/>
    </row>
    <row r="478">
      <c r="A478" s="578"/>
      <c r="B478" s="658"/>
      <c r="C478" s="659"/>
      <c r="D478" s="659"/>
      <c r="E478" s="660"/>
      <c r="F478" s="605"/>
      <c r="G478" s="658"/>
      <c r="H478" s="578"/>
      <c r="I478" s="605"/>
      <c r="J478" s="578"/>
    </row>
    <row r="479">
      <c r="A479" s="578"/>
      <c r="B479" s="658"/>
      <c r="C479" s="659"/>
      <c r="D479" s="659"/>
      <c r="E479" s="660"/>
      <c r="F479" s="605"/>
      <c r="G479" s="658"/>
      <c r="H479" s="578"/>
      <c r="I479" s="605"/>
      <c r="J479" s="578"/>
    </row>
    <row r="480">
      <c r="A480" s="578"/>
      <c r="B480" s="658"/>
      <c r="C480" s="659"/>
      <c r="D480" s="659"/>
      <c r="E480" s="660"/>
      <c r="F480" s="605"/>
      <c r="G480" s="658"/>
      <c r="H480" s="578"/>
      <c r="I480" s="605"/>
      <c r="J480" s="578"/>
    </row>
    <row r="481">
      <c r="A481" s="578"/>
      <c r="B481" s="658"/>
      <c r="C481" s="659"/>
      <c r="D481" s="659"/>
      <c r="E481" s="660"/>
      <c r="F481" s="605"/>
      <c r="G481" s="658"/>
      <c r="H481" s="578"/>
      <c r="I481" s="605"/>
      <c r="J481" s="578"/>
    </row>
    <row r="482">
      <c r="A482" s="578"/>
      <c r="B482" s="658"/>
      <c r="C482" s="659"/>
      <c r="D482" s="659"/>
      <c r="E482" s="660"/>
      <c r="F482" s="605"/>
      <c r="G482" s="658"/>
      <c r="H482" s="578"/>
      <c r="I482" s="605"/>
      <c r="J482" s="578"/>
    </row>
    <row r="483">
      <c r="A483" s="578"/>
      <c r="B483" s="658"/>
      <c r="C483" s="659"/>
      <c r="D483" s="659"/>
      <c r="E483" s="660"/>
      <c r="F483" s="605"/>
      <c r="G483" s="658"/>
      <c r="H483" s="578"/>
      <c r="I483" s="605"/>
      <c r="J483" s="578"/>
    </row>
    <row r="484">
      <c r="A484" s="578"/>
      <c r="B484" s="658"/>
      <c r="C484" s="659"/>
      <c r="D484" s="659"/>
      <c r="E484" s="660"/>
      <c r="F484" s="605"/>
      <c r="G484" s="658"/>
      <c r="H484" s="578"/>
      <c r="I484" s="605"/>
      <c r="J484" s="578"/>
    </row>
    <row r="485">
      <c r="A485" s="578"/>
      <c r="B485" s="658"/>
      <c r="C485" s="659"/>
      <c r="D485" s="659"/>
      <c r="E485" s="660"/>
      <c r="F485" s="605"/>
      <c r="G485" s="658"/>
      <c r="H485" s="578"/>
      <c r="I485" s="605"/>
      <c r="J485" s="578"/>
    </row>
    <row r="486">
      <c r="A486" s="578"/>
      <c r="B486" s="658"/>
      <c r="C486" s="659"/>
      <c r="D486" s="659"/>
      <c r="E486" s="660"/>
      <c r="F486" s="605"/>
      <c r="G486" s="658"/>
      <c r="H486" s="578"/>
      <c r="I486" s="605"/>
      <c r="J486" s="578"/>
    </row>
    <row r="487">
      <c r="A487" s="578"/>
      <c r="B487" s="658"/>
      <c r="C487" s="659"/>
      <c r="D487" s="659"/>
      <c r="E487" s="660"/>
      <c r="F487" s="605"/>
      <c r="G487" s="658"/>
      <c r="H487" s="578"/>
      <c r="I487" s="605"/>
      <c r="J487" s="578"/>
    </row>
    <row r="488">
      <c r="A488" s="578"/>
      <c r="B488" s="658"/>
      <c r="C488" s="659"/>
      <c r="D488" s="659"/>
      <c r="E488" s="660"/>
      <c r="F488" s="605"/>
      <c r="G488" s="658"/>
      <c r="H488" s="578"/>
      <c r="I488" s="605"/>
      <c r="J488" s="578"/>
    </row>
    <row r="489">
      <c r="A489" s="578"/>
      <c r="B489" s="658"/>
      <c r="C489" s="659"/>
      <c r="D489" s="659"/>
      <c r="E489" s="660"/>
      <c r="F489" s="605"/>
      <c r="G489" s="658"/>
      <c r="H489" s="578"/>
      <c r="I489" s="605"/>
      <c r="J489" s="578"/>
    </row>
    <row r="490">
      <c r="A490" s="578"/>
      <c r="B490" s="658"/>
      <c r="C490" s="659"/>
      <c r="D490" s="659"/>
      <c r="E490" s="660"/>
      <c r="F490" s="605"/>
      <c r="G490" s="658"/>
      <c r="H490" s="578"/>
      <c r="I490" s="605"/>
      <c r="J490" s="578"/>
    </row>
    <row r="491">
      <c r="A491" s="578"/>
      <c r="B491" s="658"/>
      <c r="C491" s="659"/>
      <c r="D491" s="659"/>
      <c r="E491" s="660"/>
      <c r="F491" s="605"/>
      <c r="G491" s="658"/>
      <c r="H491" s="578"/>
      <c r="I491" s="605"/>
      <c r="J491" s="578"/>
    </row>
    <row r="492">
      <c r="A492" s="578"/>
      <c r="B492" s="658"/>
      <c r="C492" s="659"/>
      <c r="D492" s="659"/>
      <c r="E492" s="660"/>
      <c r="F492" s="605"/>
      <c r="G492" s="658"/>
      <c r="H492" s="578"/>
      <c r="I492" s="605"/>
      <c r="J492" s="578"/>
    </row>
    <row r="493">
      <c r="A493" s="578"/>
      <c r="B493" s="658"/>
      <c r="C493" s="659"/>
      <c r="D493" s="659"/>
      <c r="E493" s="660"/>
      <c r="F493" s="605"/>
      <c r="G493" s="658"/>
      <c r="H493" s="578"/>
      <c r="I493" s="605"/>
      <c r="J493" s="578"/>
    </row>
    <row r="494">
      <c r="A494" s="578"/>
      <c r="B494" s="658"/>
      <c r="C494" s="659"/>
      <c r="D494" s="659"/>
      <c r="E494" s="660"/>
      <c r="F494" s="605"/>
      <c r="G494" s="658"/>
      <c r="H494" s="578"/>
      <c r="I494" s="605"/>
      <c r="J494" s="578"/>
    </row>
    <row r="495">
      <c r="A495" s="578"/>
      <c r="B495" s="658"/>
      <c r="C495" s="659"/>
      <c r="D495" s="659"/>
      <c r="E495" s="660"/>
      <c r="F495" s="605"/>
      <c r="G495" s="658"/>
      <c r="H495" s="578"/>
      <c r="I495" s="605"/>
      <c r="J495" s="578"/>
    </row>
    <row r="496">
      <c r="A496" s="578"/>
      <c r="B496" s="658"/>
      <c r="C496" s="659"/>
      <c r="D496" s="659"/>
      <c r="E496" s="660"/>
      <c r="F496" s="605"/>
      <c r="G496" s="658"/>
      <c r="H496" s="578"/>
      <c r="I496" s="605"/>
      <c r="J496" s="578"/>
    </row>
    <row r="497">
      <c r="A497" s="578"/>
      <c r="B497" s="658"/>
      <c r="C497" s="659"/>
      <c r="D497" s="659"/>
      <c r="E497" s="660"/>
      <c r="F497" s="605"/>
      <c r="G497" s="658"/>
      <c r="H497" s="578"/>
      <c r="I497" s="605"/>
      <c r="J497" s="578"/>
    </row>
    <row r="498">
      <c r="A498" s="578"/>
      <c r="B498" s="658"/>
      <c r="C498" s="659"/>
      <c r="D498" s="659"/>
      <c r="E498" s="660"/>
      <c r="F498" s="605"/>
      <c r="G498" s="658"/>
      <c r="H498" s="578"/>
      <c r="I498" s="605"/>
      <c r="J498" s="578"/>
    </row>
    <row r="499">
      <c r="A499" s="578"/>
      <c r="B499" s="658"/>
      <c r="C499" s="659"/>
      <c r="D499" s="659"/>
      <c r="E499" s="660"/>
      <c r="F499" s="605"/>
      <c r="G499" s="658"/>
      <c r="H499" s="578"/>
      <c r="I499" s="605"/>
      <c r="J499" s="578"/>
    </row>
    <row r="500">
      <c r="A500" s="578"/>
      <c r="B500" s="658"/>
      <c r="C500" s="659"/>
      <c r="D500" s="659"/>
      <c r="E500" s="660"/>
      <c r="F500" s="605"/>
      <c r="G500" s="658"/>
      <c r="H500" s="578"/>
      <c r="I500" s="605"/>
      <c r="J500" s="578"/>
    </row>
    <row r="501">
      <c r="A501" s="578"/>
      <c r="B501" s="658"/>
      <c r="C501" s="659"/>
      <c r="D501" s="659"/>
      <c r="E501" s="660"/>
      <c r="F501" s="605"/>
      <c r="G501" s="658"/>
      <c r="H501" s="578"/>
      <c r="I501" s="605"/>
      <c r="J501" s="578"/>
    </row>
    <row r="502">
      <c r="A502" s="578"/>
      <c r="B502" s="658"/>
      <c r="C502" s="659"/>
      <c r="D502" s="659"/>
      <c r="E502" s="660"/>
      <c r="F502" s="605"/>
      <c r="G502" s="658"/>
      <c r="H502" s="578"/>
      <c r="I502" s="605"/>
      <c r="J502" s="578"/>
    </row>
    <row r="503">
      <c r="A503" s="578"/>
      <c r="B503" s="658"/>
      <c r="C503" s="659"/>
      <c r="D503" s="659"/>
      <c r="E503" s="660"/>
      <c r="F503" s="605"/>
      <c r="G503" s="658"/>
      <c r="H503" s="578"/>
      <c r="I503" s="605"/>
      <c r="J503" s="578"/>
    </row>
    <row r="504">
      <c r="A504" s="578"/>
      <c r="B504" s="658"/>
      <c r="C504" s="659"/>
      <c r="D504" s="659"/>
      <c r="E504" s="660"/>
      <c r="F504" s="605"/>
      <c r="G504" s="658"/>
      <c r="H504" s="578"/>
      <c r="I504" s="605"/>
      <c r="J504" s="578"/>
    </row>
    <row r="505">
      <c r="A505" s="578"/>
      <c r="B505" s="658"/>
      <c r="C505" s="659"/>
      <c r="D505" s="659"/>
      <c r="E505" s="660"/>
      <c r="F505" s="605"/>
      <c r="G505" s="658"/>
      <c r="H505" s="578"/>
      <c r="I505" s="605"/>
      <c r="J505" s="578"/>
    </row>
    <row r="506">
      <c r="A506" s="578"/>
      <c r="B506" s="658"/>
      <c r="C506" s="659"/>
      <c r="D506" s="659"/>
      <c r="E506" s="660"/>
      <c r="F506" s="605"/>
      <c r="G506" s="658"/>
      <c r="H506" s="578"/>
      <c r="I506" s="605"/>
      <c r="J506" s="578"/>
    </row>
    <row r="507">
      <c r="A507" s="578"/>
      <c r="B507" s="658"/>
      <c r="C507" s="659"/>
      <c r="D507" s="659"/>
      <c r="E507" s="660"/>
      <c r="F507" s="605"/>
      <c r="G507" s="658"/>
      <c r="H507" s="578"/>
      <c r="I507" s="605"/>
      <c r="J507" s="578"/>
    </row>
    <row r="508">
      <c r="A508" s="578"/>
      <c r="B508" s="658"/>
      <c r="C508" s="659"/>
      <c r="D508" s="659"/>
      <c r="E508" s="660"/>
      <c r="F508" s="605"/>
      <c r="G508" s="658"/>
      <c r="H508" s="578"/>
      <c r="I508" s="605"/>
      <c r="J508" s="578"/>
    </row>
    <row r="509">
      <c r="A509" s="578"/>
      <c r="B509" s="658"/>
      <c r="C509" s="659"/>
      <c r="D509" s="659"/>
      <c r="E509" s="660"/>
      <c r="F509" s="605"/>
      <c r="G509" s="658"/>
      <c r="H509" s="578"/>
      <c r="I509" s="605"/>
      <c r="J509" s="578"/>
    </row>
    <row r="510">
      <c r="A510" s="578"/>
      <c r="B510" s="658"/>
      <c r="C510" s="659"/>
      <c r="D510" s="659"/>
      <c r="E510" s="660"/>
      <c r="F510" s="605"/>
      <c r="G510" s="658"/>
      <c r="H510" s="578"/>
      <c r="I510" s="605"/>
      <c r="J510" s="578"/>
    </row>
    <row r="511">
      <c r="A511" s="578"/>
      <c r="B511" s="658"/>
      <c r="C511" s="659"/>
      <c r="D511" s="659"/>
      <c r="E511" s="660"/>
      <c r="F511" s="605"/>
      <c r="G511" s="658"/>
      <c r="H511" s="578"/>
      <c r="I511" s="605"/>
      <c r="J511" s="578"/>
    </row>
    <row r="512">
      <c r="A512" s="578"/>
      <c r="B512" s="658"/>
      <c r="C512" s="659"/>
      <c r="D512" s="659"/>
      <c r="E512" s="660"/>
      <c r="F512" s="605"/>
      <c r="G512" s="658"/>
      <c r="H512" s="578"/>
      <c r="I512" s="605"/>
      <c r="J512" s="578"/>
    </row>
    <row r="513">
      <c r="A513" s="578"/>
      <c r="B513" s="658"/>
      <c r="C513" s="659"/>
      <c r="D513" s="659"/>
      <c r="E513" s="660"/>
      <c r="F513" s="605"/>
      <c r="G513" s="658"/>
      <c r="H513" s="578"/>
      <c r="I513" s="605"/>
      <c r="J513" s="578"/>
    </row>
    <row r="514">
      <c r="A514" s="578"/>
      <c r="B514" s="658"/>
      <c r="C514" s="659"/>
      <c r="D514" s="659"/>
      <c r="E514" s="660"/>
      <c r="F514" s="605"/>
      <c r="G514" s="658"/>
      <c r="H514" s="578"/>
      <c r="I514" s="605"/>
      <c r="J514" s="578"/>
    </row>
    <row r="515">
      <c r="A515" s="578"/>
      <c r="B515" s="658"/>
      <c r="C515" s="659"/>
      <c r="D515" s="659"/>
      <c r="E515" s="660"/>
      <c r="F515" s="605"/>
      <c r="G515" s="658"/>
      <c r="H515" s="578"/>
      <c r="I515" s="605"/>
      <c r="J515" s="578"/>
    </row>
    <row r="516">
      <c r="A516" s="578"/>
      <c r="B516" s="658"/>
      <c r="C516" s="659"/>
      <c r="D516" s="659"/>
      <c r="E516" s="660"/>
      <c r="F516" s="605"/>
      <c r="G516" s="658"/>
      <c r="H516" s="578"/>
      <c r="I516" s="605"/>
      <c r="J516" s="578"/>
    </row>
    <row r="517">
      <c r="A517" s="578"/>
      <c r="B517" s="658"/>
      <c r="C517" s="659"/>
      <c r="D517" s="659"/>
      <c r="E517" s="660"/>
      <c r="F517" s="605"/>
      <c r="G517" s="658"/>
      <c r="H517" s="578"/>
      <c r="I517" s="605"/>
      <c r="J517" s="578"/>
    </row>
    <row r="518">
      <c r="A518" s="578"/>
      <c r="B518" s="658"/>
      <c r="C518" s="659"/>
      <c r="D518" s="659"/>
      <c r="E518" s="660"/>
      <c r="F518" s="605"/>
      <c r="G518" s="658"/>
      <c r="H518" s="578"/>
      <c r="I518" s="605"/>
      <c r="J518" s="578"/>
    </row>
    <row r="519">
      <c r="A519" s="578"/>
      <c r="B519" s="658"/>
      <c r="C519" s="659"/>
      <c r="D519" s="659"/>
      <c r="E519" s="660"/>
      <c r="F519" s="605"/>
      <c r="G519" s="658"/>
      <c r="H519" s="578"/>
      <c r="I519" s="605"/>
      <c r="J519" s="578"/>
    </row>
    <row r="520">
      <c r="A520" s="578"/>
      <c r="B520" s="658"/>
      <c r="C520" s="659"/>
      <c r="D520" s="659"/>
      <c r="E520" s="660"/>
      <c r="F520" s="605"/>
      <c r="G520" s="658"/>
      <c r="H520" s="578"/>
      <c r="I520" s="605"/>
      <c r="J520" s="578"/>
    </row>
    <row r="521">
      <c r="A521" s="578"/>
      <c r="B521" s="658"/>
      <c r="C521" s="659"/>
      <c r="D521" s="659"/>
      <c r="E521" s="660"/>
      <c r="F521" s="605"/>
      <c r="G521" s="658"/>
      <c r="H521" s="578"/>
      <c r="I521" s="605"/>
      <c r="J521" s="578"/>
    </row>
    <row r="522">
      <c r="A522" s="578"/>
      <c r="B522" s="658"/>
      <c r="C522" s="659"/>
      <c r="D522" s="659"/>
      <c r="E522" s="660"/>
      <c r="F522" s="605"/>
      <c r="G522" s="658"/>
      <c r="H522" s="578"/>
      <c r="I522" s="605"/>
      <c r="J522" s="578"/>
    </row>
    <row r="523">
      <c r="A523" s="578"/>
      <c r="B523" s="658"/>
      <c r="C523" s="659"/>
      <c r="D523" s="659"/>
      <c r="E523" s="660"/>
      <c r="F523" s="605"/>
      <c r="G523" s="658"/>
      <c r="H523" s="578"/>
      <c r="I523" s="605"/>
      <c r="J523" s="578"/>
    </row>
    <row r="524">
      <c r="A524" s="578"/>
      <c r="B524" s="658"/>
      <c r="C524" s="659"/>
      <c r="D524" s="659"/>
      <c r="E524" s="660"/>
      <c r="F524" s="605"/>
      <c r="G524" s="658"/>
      <c r="H524" s="578"/>
      <c r="I524" s="605"/>
      <c r="J524" s="578"/>
    </row>
    <row r="525">
      <c r="A525" s="578"/>
      <c r="B525" s="658"/>
      <c r="C525" s="659"/>
      <c r="D525" s="659"/>
      <c r="E525" s="660"/>
      <c r="F525" s="605"/>
      <c r="G525" s="658"/>
      <c r="H525" s="578"/>
      <c r="I525" s="605"/>
      <c r="J525" s="578"/>
    </row>
    <row r="526">
      <c r="A526" s="578"/>
      <c r="B526" s="658"/>
      <c r="C526" s="659"/>
      <c r="D526" s="659"/>
      <c r="E526" s="660"/>
      <c r="F526" s="605"/>
      <c r="G526" s="658"/>
      <c r="H526" s="578"/>
      <c r="I526" s="605"/>
      <c r="J526" s="578"/>
    </row>
    <row r="527">
      <c r="A527" s="578"/>
      <c r="B527" s="658"/>
      <c r="C527" s="659"/>
      <c r="D527" s="659"/>
      <c r="E527" s="660"/>
      <c r="F527" s="605"/>
      <c r="G527" s="658"/>
      <c r="H527" s="578"/>
      <c r="I527" s="605"/>
      <c r="J527" s="578"/>
    </row>
    <row r="528">
      <c r="A528" s="578"/>
      <c r="B528" s="658"/>
      <c r="C528" s="659"/>
      <c r="D528" s="659"/>
      <c r="E528" s="660"/>
      <c r="F528" s="605"/>
      <c r="G528" s="658"/>
      <c r="H528" s="578"/>
      <c r="I528" s="605"/>
      <c r="J528" s="578"/>
    </row>
    <row r="529">
      <c r="A529" s="578"/>
      <c r="B529" s="658"/>
      <c r="C529" s="659"/>
      <c r="D529" s="659"/>
      <c r="E529" s="660"/>
      <c r="F529" s="605"/>
      <c r="G529" s="658"/>
      <c r="H529" s="578"/>
      <c r="I529" s="605"/>
      <c r="J529" s="578"/>
    </row>
    <row r="530">
      <c r="A530" s="578"/>
      <c r="B530" s="658"/>
      <c r="C530" s="659"/>
      <c r="D530" s="659"/>
      <c r="E530" s="660"/>
      <c r="F530" s="605"/>
      <c r="G530" s="658"/>
      <c r="H530" s="578"/>
      <c r="I530" s="605"/>
      <c r="J530" s="578"/>
    </row>
    <row r="531">
      <c r="A531" s="578"/>
      <c r="B531" s="658"/>
      <c r="C531" s="659"/>
      <c r="D531" s="659"/>
      <c r="E531" s="660"/>
      <c r="F531" s="605"/>
      <c r="G531" s="658"/>
      <c r="H531" s="578"/>
      <c r="I531" s="605"/>
      <c r="J531" s="578"/>
    </row>
    <row r="532">
      <c r="A532" s="578"/>
      <c r="B532" s="658"/>
      <c r="C532" s="659"/>
      <c r="D532" s="659"/>
      <c r="E532" s="660"/>
      <c r="F532" s="605"/>
      <c r="G532" s="658"/>
      <c r="H532" s="578"/>
      <c r="I532" s="605"/>
      <c r="J532" s="578"/>
    </row>
    <row r="533">
      <c r="A533" s="578"/>
      <c r="B533" s="658"/>
      <c r="C533" s="659"/>
      <c r="D533" s="659"/>
      <c r="E533" s="660"/>
      <c r="F533" s="605"/>
      <c r="G533" s="658"/>
      <c r="H533" s="578"/>
      <c r="I533" s="605"/>
      <c r="J533" s="578"/>
    </row>
    <row r="534">
      <c r="A534" s="578"/>
      <c r="B534" s="658"/>
      <c r="C534" s="659"/>
      <c r="D534" s="659"/>
      <c r="E534" s="660"/>
      <c r="F534" s="605"/>
      <c r="G534" s="658"/>
      <c r="H534" s="578"/>
      <c r="I534" s="605"/>
      <c r="J534" s="578"/>
    </row>
    <row r="535">
      <c r="A535" s="578"/>
      <c r="B535" s="658"/>
      <c r="C535" s="659"/>
      <c r="D535" s="659"/>
      <c r="E535" s="660"/>
      <c r="F535" s="605"/>
      <c r="G535" s="658"/>
      <c r="H535" s="578"/>
      <c r="I535" s="605"/>
      <c r="J535" s="578"/>
    </row>
    <row r="536">
      <c r="A536" s="578"/>
      <c r="B536" s="658"/>
      <c r="C536" s="659"/>
      <c r="D536" s="659"/>
      <c r="E536" s="660"/>
      <c r="F536" s="605"/>
      <c r="G536" s="658"/>
      <c r="H536" s="578"/>
      <c r="I536" s="605"/>
      <c r="J536" s="578"/>
    </row>
    <row r="537">
      <c r="A537" s="578"/>
      <c r="B537" s="658"/>
      <c r="C537" s="659"/>
      <c r="D537" s="659"/>
      <c r="E537" s="660"/>
      <c r="F537" s="605"/>
      <c r="G537" s="658"/>
      <c r="H537" s="578"/>
      <c r="I537" s="605"/>
      <c r="J537" s="578"/>
    </row>
    <row r="538">
      <c r="A538" s="578"/>
      <c r="B538" s="658"/>
      <c r="C538" s="659"/>
      <c r="D538" s="659"/>
      <c r="E538" s="660"/>
      <c r="F538" s="605"/>
      <c r="G538" s="658"/>
      <c r="H538" s="578"/>
      <c r="I538" s="605"/>
      <c r="J538" s="578"/>
    </row>
    <row r="539">
      <c r="A539" s="578"/>
      <c r="B539" s="658"/>
      <c r="C539" s="659"/>
      <c r="D539" s="659"/>
      <c r="E539" s="660"/>
      <c r="F539" s="605"/>
      <c r="G539" s="658"/>
      <c r="H539" s="578"/>
      <c r="I539" s="605"/>
      <c r="J539" s="578"/>
    </row>
    <row r="540">
      <c r="A540" s="578"/>
      <c r="B540" s="658"/>
      <c r="C540" s="659"/>
      <c r="D540" s="659"/>
      <c r="E540" s="660"/>
      <c r="F540" s="605"/>
      <c r="G540" s="658"/>
      <c r="H540" s="578"/>
      <c r="I540" s="605"/>
      <c r="J540" s="578"/>
    </row>
    <row r="541">
      <c r="A541" s="578"/>
      <c r="B541" s="658"/>
      <c r="C541" s="659"/>
      <c r="D541" s="659"/>
      <c r="E541" s="660"/>
      <c r="F541" s="605"/>
      <c r="G541" s="658"/>
      <c r="H541" s="578"/>
      <c r="I541" s="605"/>
      <c r="J541" s="578"/>
    </row>
    <row r="542">
      <c r="A542" s="578"/>
      <c r="B542" s="658"/>
      <c r="C542" s="659"/>
      <c r="D542" s="659"/>
      <c r="E542" s="660"/>
      <c r="F542" s="605"/>
      <c r="G542" s="658"/>
      <c r="H542" s="578"/>
      <c r="I542" s="605"/>
      <c r="J542" s="578"/>
    </row>
    <row r="543">
      <c r="A543" s="578"/>
      <c r="B543" s="658"/>
      <c r="C543" s="659"/>
      <c r="D543" s="659"/>
      <c r="E543" s="660"/>
      <c r="F543" s="605"/>
      <c r="G543" s="658"/>
      <c r="H543" s="578"/>
      <c r="I543" s="605"/>
      <c r="J543" s="578"/>
    </row>
    <row r="544">
      <c r="A544" s="578"/>
      <c r="B544" s="658"/>
      <c r="C544" s="659"/>
      <c r="D544" s="659"/>
      <c r="E544" s="660"/>
      <c r="F544" s="605"/>
      <c r="G544" s="658"/>
      <c r="H544" s="578"/>
      <c r="I544" s="605"/>
      <c r="J544" s="578"/>
    </row>
    <row r="545">
      <c r="A545" s="578"/>
      <c r="B545" s="658"/>
      <c r="C545" s="659"/>
      <c r="D545" s="659"/>
      <c r="E545" s="660"/>
      <c r="F545" s="605"/>
      <c r="G545" s="658"/>
      <c r="H545" s="578"/>
      <c r="I545" s="605"/>
      <c r="J545" s="578"/>
    </row>
    <row r="546">
      <c r="A546" s="578"/>
      <c r="B546" s="658"/>
      <c r="C546" s="659"/>
      <c r="D546" s="659"/>
      <c r="E546" s="660"/>
      <c r="F546" s="605"/>
      <c r="G546" s="658"/>
      <c r="H546" s="578"/>
      <c r="I546" s="605"/>
      <c r="J546" s="578"/>
    </row>
    <row r="547">
      <c r="A547" s="578"/>
      <c r="B547" s="658"/>
      <c r="C547" s="659"/>
      <c r="D547" s="659"/>
      <c r="E547" s="660"/>
      <c r="F547" s="605"/>
      <c r="G547" s="658"/>
      <c r="H547" s="578"/>
      <c r="I547" s="605"/>
      <c r="J547" s="578"/>
    </row>
    <row r="548">
      <c r="A548" s="578"/>
      <c r="B548" s="658"/>
      <c r="C548" s="659"/>
      <c r="D548" s="659"/>
      <c r="E548" s="660"/>
      <c r="F548" s="605"/>
      <c r="G548" s="658"/>
      <c r="H548" s="578"/>
      <c r="I548" s="605"/>
      <c r="J548" s="578"/>
    </row>
    <row r="549">
      <c r="A549" s="578"/>
      <c r="B549" s="658"/>
      <c r="C549" s="659"/>
      <c r="D549" s="659"/>
      <c r="E549" s="660"/>
      <c r="F549" s="605"/>
      <c r="G549" s="658"/>
      <c r="H549" s="578"/>
      <c r="I549" s="605"/>
      <c r="J549" s="578"/>
    </row>
    <row r="550">
      <c r="A550" s="578"/>
      <c r="B550" s="658"/>
      <c r="C550" s="659"/>
      <c r="D550" s="659"/>
      <c r="E550" s="660"/>
      <c r="F550" s="605"/>
      <c r="G550" s="658"/>
      <c r="H550" s="578"/>
      <c r="I550" s="605"/>
      <c r="J550" s="578"/>
    </row>
    <row r="551">
      <c r="A551" s="578"/>
      <c r="B551" s="658"/>
      <c r="C551" s="659"/>
      <c r="D551" s="659"/>
      <c r="E551" s="660"/>
      <c r="F551" s="605"/>
      <c r="G551" s="658"/>
      <c r="H551" s="578"/>
      <c r="I551" s="605"/>
      <c r="J551" s="578"/>
    </row>
    <row r="552">
      <c r="A552" s="578"/>
      <c r="B552" s="658"/>
      <c r="C552" s="659"/>
      <c r="D552" s="659"/>
      <c r="E552" s="660"/>
      <c r="F552" s="605"/>
      <c r="G552" s="658"/>
      <c r="H552" s="578"/>
      <c r="I552" s="605"/>
      <c r="J552" s="578"/>
    </row>
    <row r="553">
      <c r="A553" s="578"/>
      <c r="B553" s="658"/>
      <c r="C553" s="659"/>
      <c r="D553" s="659"/>
      <c r="E553" s="660"/>
      <c r="F553" s="605"/>
      <c r="G553" s="658"/>
      <c r="H553" s="578"/>
      <c r="I553" s="605"/>
      <c r="J553" s="578"/>
    </row>
    <row r="554">
      <c r="A554" s="578"/>
      <c r="B554" s="658"/>
      <c r="C554" s="659"/>
      <c r="D554" s="659"/>
      <c r="E554" s="660"/>
      <c r="F554" s="605"/>
      <c r="G554" s="658"/>
      <c r="H554" s="578"/>
      <c r="I554" s="605"/>
      <c r="J554" s="578"/>
    </row>
    <row r="555">
      <c r="A555" s="578"/>
      <c r="B555" s="658"/>
      <c r="C555" s="659"/>
      <c r="D555" s="659"/>
      <c r="E555" s="660"/>
      <c r="F555" s="605"/>
      <c r="G555" s="658"/>
      <c r="H555" s="578"/>
      <c r="I555" s="605"/>
      <c r="J555" s="578"/>
    </row>
    <row r="556">
      <c r="A556" s="578"/>
      <c r="B556" s="658"/>
      <c r="C556" s="659"/>
      <c r="D556" s="659"/>
      <c r="E556" s="660"/>
      <c r="F556" s="605"/>
      <c r="G556" s="658"/>
      <c r="H556" s="578"/>
      <c r="I556" s="605"/>
      <c r="J556" s="578"/>
    </row>
    <row r="557">
      <c r="A557" s="578"/>
      <c r="B557" s="658"/>
      <c r="C557" s="659"/>
      <c r="D557" s="659"/>
      <c r="E557" s="660"/>
      <c r="F557" s="605"/>
      <c r="G557" s="658"/>
      <c r="H557" s="578"/>
      <c r="I557" s="605"/>
      <c r="J557" s="578"/>
    </row>
    <row r="558">
      <c r="A558" s="578"/>
      <c r="B558" s="658"/>
      <c r="C558" s="659"/>
      <c r="D558" s="659"/>
      <c r="E558" s="660"/>
      <c r="F558" s="605"/>
      <c r="G558" s="658"/>
      <c r="H558" s="578"/>
      <c r="I558" s="605"/>
      <c r="J558" s="578"/>
    </row>
    <row r="559">
      <c r="A559" s="578"/>
      <c r="B559" s="658"/>
      <c r="C559" s="659"/>
      <c r="D559" s="659"/>
      <c r="E559" s="660"/>
      <c r="F559" s="605"/>
      <c r="G559" s="658"/>
      <c r="H559" s="578"/>
      <c r="I559" s="605"/>
      <c r="J559" s="578"/>
    </row>
    <row r="560">
      <c r="A560" s="578"/>
      <c r="B560" s="658"/>
      <c r="C560" s="659"/>
      <c r="D560" s="659"/>
      <c r="E560" s="660"/>
      <c r="F560" s="605"/>
      <c r="G560" s="658"/>
      <c r="H560" s="578"/>
      <c r="I560" s="605"/>
      <c r="J560" s="578"/>
    </row>
    <row r="561">
      <c r="A561" s="578"/>
      <c r="B561" s="658"/>
      <c r="C561" s="659"/>
      <c r="D561" s="659"/>
      <c r="E561" s="660"/>
      <c r="F561" s="605"/>
      <c r="G561" s="658"/>
      <c r="H561" s="578"/>
      <c r="I561" s="605"/>
      <c r="J561" s="578"/>
    </row>
    <row r="562">
      <c r="A562" s="578"/>
      <c r="B562" s="658"/>
      <c r="C562" s="659"/>
      <c r="D562" s="659"/>
      <c r="E562" s="660"/>
      <c r="F562" s="605"/>
      <c r="G562" s="658"/>
      <c r="H562" s="578"/>
      <c r="I562" s="605"/>
      <c r="J562" s="578"/>
    </row>
    <row r="563">
      <c r="A563" s="578"/>
      <c r="B563" s="658"/>
      <c r="C563" s="659"/>
      <c r="D563" s="659"/>
      <c r="E563" s="660"/>
      <c r="F563" s="605"/>
      <c r="G563" s="658"/>
      <c r="H563" s="578"/>
      <c r="I563" s="605"/>
      <c r="J563" s="578"/>
    </row>
    <row r="564">
      <c r="A564" s="578"/>
      <c r="B564" s="658"/>
      <c r="C564" s="659"/>
      <c r="D564" s="659"/>
      <c r="E564" s="660"/>
      <c r="F564" s="605"/>
      <c r="G564" s="658"/>
      <c r="H564" s="578"/>
      <c r="I564" s="605"/>
      <c r="J564" s="578"/>
    </row>
    <row r="565">
      <c r="A565" s="578"/>
      <c r="B565" s="658"/>
      <c r="C565" s="659"/>
      <c r="D565" s="659"/>
      <c r="E565" s="660"/>
      <c r="F565" s="605"/>
      <c r="G565" s="658"/>
      <c r="H565" s="578"/>
      <c r="I565" s="605"/>
      <c r="J565" s="578"/>
    </row>
    <row r="566">
      <c r="A566" s="578"/>
      <c r="B566" s="658"/>
      <c r="C566" s="659"/>
      <c r="D566" s="659"/>
      <c r="E566" s="660"/>
      <c r="F566" s="605"/>
      <c r="G566" s="658"/>
      <c r="H566" s="578"/>
      <c r="I566" s="605"/>
      <c r="J566" s="578"/>
    </row>
    <row r="567">
      <c r="A567" s="578"/>
      <c r="B567" s="658"/>
      <c r="C567" s="659"/>
      <c r="D567" s="659"/>
      <c r="E567" s="660"/>
      <c r="F567" s="605"/>
      <c r="G567" s="658"/>
      <c r="H567" s="578"/>
      <c r="I567" s="605"/>
      <c r="J567" s="578"/>
    </row>
    <row r="568">
      <c r="A568" s="578"/>
      <c r="B568" s="658"/>
      <c r="C568" s="659"/>
      <c r="D568" s="659"/>
      <c r="E568" s="660"/>
      <c r="F568" s="605"/>
      <c r="G568" s="658"/>
      <c r="H568" s="578"/>
      <c r="I568" s="605"/>
      <c r="J568" s="578"/>
    </row>
    <row r="569">
      <c r="A569" s="578"/>
      <c r="B569" s="658"/>
      <c r="C569" s="659"/>
      <c r="D569" s="659"/>
      <c r="E569" s="660"/>
      <c r="F569" s="605"/>
      <c r="G569" s="658"/>
      <c r="H569" s="578"/>
      <c r="I569" s="605"/>
      <c r="J569" s="578"/>
    </row>
    <row r="570">
      <c r="A570" s="578"/>
      <c r="B570" s="658"/>
      <c r="C570" s="659"/>
      <c r="D570" s="659"/>
      <c r="E570" s="660"/>
      <c r="F570" s="605"/>
      <c r="G570" s="658"/>
      <c r="H570" s="578"/>
      <c r="I570" s="605"/>
      <c r="J570" s="578"/>
    </row>
    <row r="571">
      <c r="A571" s="578"/>
      <c r="B571" s="658"/>
      <c r="C571" s="659"/>
      <c r="D571" s="659"/>
      <c r="E571" s="660"/>
      <c r="F571" s="605"/>
      <c r="G571" s="658"/>
      <c r="H571" s="578"/>
      <c r="I571" s="605"/>
      <c r="J571" s="578"/>
    </row>
    <row r="572">
      <c r="A572" s="578"/>
      <c r="B572" s="658"/>
      <c r="C572" s="659"/>
      <c r="D572" s="659"/>
      <c r="E572" s="660"/>
      <c r="F572" s="605"/>
      <c r="G572" s="658"/>
      <c r="H572" s="578"/>
      <c r="I572" s="605"/>
      <c r="J572" s="578"/>
    </row>
    <row r="573">
      <c r="A573" s="578"/>
      <c r="B573" s="658"/>
      <c r="C573" s="659"/>
      <c r="D573" s="659"/>
      <c r="E573" s="660"/>
      <c r="F573" s="605"/>
      <c r="G573" s="658"/>
      <c r="H573" s="578"/>
      <c r="I573" s="605"/>
      <c r="J573" s="578"/>
    </row>
    <row r="574">
      <c r="A574" s="578"/>
      <c r="B574" s="658"/>
      <c r="C574" s="659"/>
      <c r="D574" s="659"/>
      <c r="E574" s="660"/>
      <c r="F574" s="605"/>
      <c r="G574" s="658"/>
      <c r="H574" s="578"/>
      <c r="I574" s="605"/>
      <c r="J574" s="578"/>
    </row>
    <row r="575">
      <c r="A575" s="578"/>
      <c r="B575" s="658"/>
      <c r="C575" s="659"/>
      <c r="D575" s="659"/>
      <c r="E575" s="660"/>
      <c r="F575" s="605"/>
      <c r="G575" s="658"/>
      <c r="H575" s="578"/>
      <c r="I575" s="605"/>
      <c r="J575" s="578"/>
    </row>
    <row r="576">
      <c r="A576" s="578"/>
      <c r="B576" s="658"/>
      <c r="C576" s="659"/>
      <c r="D576" s="659"/>
      <c r="E576" s="660"/>
      <c r="F576" s="605"/>
      <c r="G576" s="658"/>
      <c r="H576" s="578"/>
      <c r="I576" s="605"/>
      <c r="J576" s="578"/>
    </row>
    <row r="577">
      <c r="A577" s="578"/>
      <c r="B577" s="658"/>
      <c r="C577" s="659"/>
      <c r="D577" s="659"/>
      <c r="E577" s="660"/>
      <c r="F577" s="605"/>
      <c r="G577" s="658"/>
      <c r="H577" s="578"/>
      <c r="I577" s="605"/>
      <c r="J577" s="578"/>
    </row>
    <row r="578">
      <c r="A578" s="578"/>
      <c r="B578" s="658"/>
      <c r="C578" s="659"/>
      <c r="D578" s="659"/>
      <c r="E578" s="660"/>
      <c r="F578" s="605"/>
      <c r="G578" s="658"/>
      <c r="H578" s="578"/>
      <c r="I578" s="605"/>
      <c r="J578" s="578"/>
    </row>
    <row r="579">
      <c r="A579" s="578"/>
      <c r="B579" s="658"/>
      <c r="C579" s="659"/>
      <c r="D579" s="659"/>
      <c r="E579" s="660"/>
      <c r="F579" s="605"/>
      <c r="G579" s="658"/>
      <c r="H579" s="578"/>
      <c r="I579" s="605"/>
      <c r="J579" s="578"/>
    </row>
    <row r="580">
      <c r="A580" s="578"/>
      <c r="B580" s="658"/>
      <c r="C580" s="659"/>
      <c r="D580" s="659"/>
      <c r="E580" s="660"/>
      <c r="F580" s="605"/>
      <c r="G580" s="658"/>
      <c r="H580" s="578"/>
      <c r="I580" s="605"/>
      <c r="J580" s="578"/>
    </row>
    <row r="581">
      <c r="A581" s="578"/>
      <c r="B581" s="658"/>
      <c r="C581" s="659"/>
      <c r="D581" s="659"/>
      <c r="E581" s="660"/>
      <c r="F581" s="605"/>
      <c r="G581" s="658"/>
      <c r="H581" s="578"/>
      <c r="I581" s="605"/>
      <c r="J581" s="578"/>
    </row>
    <row r="582">
      <c r="A582" s="578"/>
      <c r="B582" s="658"/>
      <c r="C582" s="659"/>
      <c r="D582" s="659"/>
      <c r="E582" s="660"/>
      <c r="F582" s="605"/>
      <c r="G582" s="658"/>
      <c r="H582" s="578"/>
      <c r="I582" s="605"/>
      <c r="J582" s="578"/>
    </row>
    <row r="583">
      <c r="A583" s="578"/>
      <c r="B583" s="658"/>
      <c r="C583" s="659"/>
      <c r="D583" s="659"/>
      <c r="E583" s="660"/>
      <c r="F583" s="605"/>
      <c r="G583" s="658"/>
      <c r="H583" s="578"/>
      <c r="I583" s="605"/>
      <c r="J583" s="578"/>
    </row>
    <row r="584">
      <c r="A584" s="578"/>
      <c r="B584" s="658"/>
      <c r="C584" s="659"/>
      <c r="D584" s="659"/>
      <c r="E584" s="660"/>
      <c r="F584" s="605"/>
      <c r="G584" s="658"/>
      <c r="H584" s="578"/>
      <c r="I584" s="605"/>
      <c r="J584" s="578"/>
    </row>
    <row r="585">
      <c r="A585" s="578"/>
      <c r="B585" s="658"/>
      <c r="C585" s="659"/>
      <c r="D585" s="659"/>
      <c r="E585" s="660"/>
      <c r="F585" s="605"/>
      <c r="G585" s="658"/>
      <c r="H585" s="578"/>
      <c r="I585" s="605"/>
      <c r="J585" s="578"/>
    </row>
    <row r="586">
      <c r="A586" s="578"/>
      <c r="B586" s="658"/>
      <c r="C586" s="659"/>
      <c r="D586" s="659"/>
      <c r="E586" s="660"/>
      <c r="F586" s="605"/>
      <c r="G586" s="658"/>
      <c r="H586" s="578"/>
      <c r="I586" s="605"/>
      <c r="J586" s="578"/>
    </row>
    <row r="587">
      <c r="A587" s="578"/>
      <c r="B587" s="658"/>
      <c r="C587" s="659"/>
      <c r="D587" s="659"/>
      <c r="E587" s="660"/>
      <c r="F587" s="605"/>
      <c r="G587" s="658"/>
      <c r="H587" s="578"/>
      <c r="I587" s="605"/>
      <c r="J587" s="578"/>
    </row>
    <row r="588">
      <c r="A588" s="578"/>
      <c r="B588" s="658"/>
      <c r="C588" s="659"/>
      <c r="D588" s="659"/>
      <c r="E588" s="660"/>
      <c r="F588" s="605"/>
      <c r="G588" s="658"/>
      <c r="H588" s="578"/>
      <c r="I588" s="605"/>
      <c r="J588" s="578"/>
    </row>
    <row r="589">
      <c r="A589" s="578"/>
      <c r="B589" s="658"/>
      <c r="C589" s="659"/>
      <c r="D589" s="659"/>
      <c r="E589" s="660"/>
      <c r="F589" s="605"/>
      <c r="G589" s="658"/>
      <c r="H589" s="578"/>
      <c r="I589" s="605"/>
      <c r="J589" s="578"/>
    </row>
    <row r="590">
      <c r="A590" s="578"/>
      <c r="B590" s="658"/>
      <c r="C590" s="659"/>
      <c r="D590" s="659"/>
      <c r="E590" s="660"/>
      <c r="F590" s="605"/>
      <c r="G590" s="658"/>
      <c r="H590" s="578"/>
      <c r="I590" s="605"/>
      <c r="J590" s="578"/>
    </row>
    <row r="591">
      <c r="A591" s="578"/>
      <c r="B591" s="658"/>
      <c r="C591" s="659"/>
      <c r="D591" s="659"/>
      <c r="E591" s="660"/>
      <c r="F591" s="605"/>
      <c r="G591" s="658"/>
      <c r="H591" s="578"/>
      <c r="I591" s="605"/>
      <c r="J591" s="578"/>
    </row>
    <row r="592">
      <c r="A592" s="578"/>
      <c r="B592" s="658"/>
      <c r="C592" s="659"/>
      <c r="D592" s="659"/>
      <c r="E592" s="660"/>
      <c r="F592" s="605"/>
      <c r="G592" s="658"/>
      <c r="H592" s="578"/>
      <c r="I592" s="605"/>
      <c r="J592" s="578"/>
    </row>
    <row r="593">
      <c r="A593" s="578"/>
      <c r="B593" s="658"/>
      <c r="C593" s="659"/>
      <c r="D593" s="659"/>
      <c r="E593" s="660"/>
      <c r="F593" s="605"/>
      <c r="G593" s="658"/>
      <c r="H593" s="578"/>
      <c r="I593" s="605"/>
      <c r="J593" s="578"/>
    </row>
    <row r="594">
      <c r="A594" s="578"/>
      <c r="B594" s="658"/>
      <c r="C594" s="659"/>
      <c r="D594" s="659"/>
      <c r="E594" s="660"/>
      <c r="F594" s="605"/>
      <c r="G594" s="658"/>
      <c r="H594" s="578"/>
      <c r="I594" s="605"/>
      <c r="J594" s="578"/>
    </row>
    <row r="595">
      <c r="A595" s="578"/>
      <c r="B595" s="658"/>
      <c r="C595" s="659"/>
      <c r="D595" s="659"/>
      <c r="E595" s="660"/>
      <c r="F595" s="605"/>
      <c r="G595" s="658"/>
      <c r="H595" s="578"/>
      <c r="I595" s="605"/>
      <c r="J595" s="578"/>
    </row>
    <row r="596">
      <c r="A596" s="578"/>
      <c r="B596" s="658"/>
      <c r="C596" s="659"/>
      <c r="D596" s="659"/>
      <c r="E596" s="660"/>
      <c r="F596" s="605"/>
      <c r="G596" s="658"/>
      <c r="H596" s="578"/>
      <c r="I596" s="605"/>
      <c r="J596" s="578"/>
    </row>
    <row r="597">
      <c r="A597" s="578"/>
      <c r="B597" s="658"/>
      <c r="C597" s="659"/>
      <c r="D597" s="659"/>
      <c r="E597" s="660"/>
      <c r="F597" s="605"/>
      <c r="G597" s="658"/>
      <c r="H597" s="578"/>
      <c r="I597" s="605"/>
      <c r="J597" s="578"/>
    </row>
    <row r="598">
      <c r="A598" s="578"/>
      <c r="B598" s="658"/>
      <c r="C598" s="659"/>
      <c r="D598" s="659"/>
      <c r="E598" s="660"/>
      <c r="F598" s="605"/>
      <c r="G598" s="658"/>
      <c r="H598" s="578"/>
      <c r="I598" s="605"/>
      <c r="J598" s="578"/>
    </row>
    <row r="599">
      <c r="A599" s="578"/>
      <c r="B599" s="658"/>
      <c r="C599" s="659"/>
      <c r="D599" s="659"/>
      <c r="E599" s="660"/>
      <c r="F599" s="605"/>
      <c r="G599" s="658"/>
      <c r="H599" s="578"/>
      <c r="I599" s="605"/>
      <c r="J599" s="578"/>
    </row>
    <row r="600">
      <c r="A600" s="578"/>
      <c r="B600" s="658"/>
      <c r="C600" s="659"/>
      <c r="D600" s="659"/>
      <c r="E600" s="660"/>
      <c r="F600" s="605"/>
      <c r="G600" s="658"/>
      <c r="H600" s="578"/>
      <c r="I600" s="605"/>
      <c r="J600" s="578"/>
    </row>
    <row r="601">
      <c r="A601" s="578"/>
      <c r="B601" s="658"/>
      <c r="C601" s="659"/>
      <c r="D601" s="659"/>
      <c r="E601" s="660"/>
      <c r="F601" s="605"/>
      <c r="G601" s="658"/>
      <c r="H601" s="578"/>
      <c r="I601" s="605"/>
      <c r="J601" s="578"/>
    </row>
    <row r="602">
      <c r="A602" s="578"/>
      <c r="B602" s="658"/>
      <c r="C602" s="659"/>
      <c r="D602" s="659"/>
      <c r="E602" s="660"/>
      <c r="F602" s="605"/>
      <c r="G602" s="658"/>
      <c r="H602" s="578"/>
      <c r="I602" s="605"/>
      <c r="J602" s="578"/>
    </row>
    <row r="603">
      <c r="A603" s="578"/>
      <c r="B603" s="658"/>
      <c r="C603" s="659"/>
      <c r="D603" s="659"/>
      <c r="E603" s="660"/>
      <c r="F603" s="605"/>
      <c r="G603" s="658"/>
      <c r="H603" s="578"/>
      <c r="I603" s="605"/>
      <c r="J603" s="578"/>
    </row>
    <row r="604">
      <c r="A604" s="578"/>
      <c r="B604" s="658"/>
      <c r="C604" s="659"/>
      <c r="D604" s="659"/>
      <c r="E604" s="660"/>
      <c r="F604" s="605"/>
      <c r="G604" s="658"/>
      <c r="H604" s="578"/>
      <c r="I604" s="605"/>
      <c r="J604" s="578"/>
    </row>
    <row r="605">
      <c r="A605" s="578"/>
      <c r="B605" s="658"/>
      <c r="C605" s="659"/>
      <c r="D605" s="659"/>
      <c r="E605" s="660"/>
      <c r="F605" s="605"/>
      <c r="G605" s="658"/>
      <c r="H605" s="578"/>
      <c r="I605" s="605"/>
      <c r="J605" s="578"/>
    </row>
    <row r="606">
      <c r="A606" s="578"/>
      <c r="B606" s="658"/>
      <c r="C606" s="659"/>
      <c r="D606" s="659"/>
      <c r="E606" s="660"/>
      <c r="F606" s="605"/>
      <c r="G606" s="658"/>
      <c r="H606" s="578"/>
      <c r="I606" s="605"/>
      <c r="J606" s="578"/>
    </row>
    <row r="607">
      <c r="A607" s="578"/>
      <c r="B607" s="658"/>
      <c r="C607" s="659"/>
      <c r="D607" s="659"/>
      <c r="E607" s="660"/>
      <c r="F607" s="605"/>
      <c r="G607" s="658"/>
      <c r="H607" s="578"/>
      <c r="I607" s="605"/>
      <c r="J607" s="578"/>
    </row>
    <row r="608">
      <c r="A608" s="578"/>
      <c r="B608" s="658"/>
      <c r="C608" s="659"/>
      <c r="D608" s="659"/>
      <c r="E608" s="660"/>
      <c r="F608" s="605"/>
      <c r="G608" s="658"/>
      <c r="H608" s="578"/>
      <c r="I608" s="605"/>
      <c r="J608" s="578"/>
    </row>
    <row r="609">
      <c r="A609" s="578"/>
      <c r="B609" s="658"/>
      <c r="C609" s="659"/>
      <c r="D609" s="659"/>
      <c r="E609" s="660"/>
      <c r="F609" s="605"/>
      <c r="G609" s="658"/>
      <c r="H609" s="578"/>
      <c r="I609" s="605"/>
      <c r="J609" s="578"/>
    </row>
    <row r="610">
      <c r="A610" s="578"/>
      <c r="B610" s="658"/>
      <c r="C610" s="659"/>
      <c r="D610" s="659"/>
      <c r="E610" s="660"/>
      <c r="F610" s="605"/>
      <c r="G610" s="658"/>
      <c r="H610" s="578"/>
      <c r="I610" s="605"/>
      <c r="J610" s="578"/>
    </row>
    <row r="611">
      <c r="A611" s="578"/>
      <c r="B611" s="658"/>
      <c r="C611" s="659"/>
      <c r="D611" s="659"/>
      <c r="E611" s="660"/>
      <c r="F611" s="605"/>
      <c r="G611" s="658"/>
      <c r="H611" s="578"/>
      <c r="I611" s="605"/>
      <c r="J611" s="578"/>
    </row>
    <row r="612">
      <c r="A612" s="578"/>
      <c r="B612" s="658"/>
      <c r="C612" s="659"/>
      <c r="D612" s="659"/>
      <c r="E612" s="660"/>
      <c r="F612" s="605"/>
      <c r="G612" s="658"/>
      <c r="H612" s="578"/>
      <c r="I612" s="605"/>
      <c r="J612" s="578"/>
    </row>
    <row r="613">
      <c r="A613" s="578"/>
      <c r="B613" s="658"/>
      <c r="C613" s="659"/>
      <c r="D613" s="659"/>
      <c r="E613" s="660"/>
      <c r="F613" s="605"/>
      <c r="G613" s="658"/>
      <c r="H613" s="578"/>
      <c r="I613" s="605"/>
      <c r="J613" s="578"/>
    </row>
    <row r="614">
      <c r="A614" s="578"/>
      <c r="B614" s="658"/>
      <c r="C614" s="659"/>
      <c r="D614" s="659"/>
      <c r="E614" s="660"/>
      <c r="F614" s="605"/>
      <c r="G614" s="658"/>
      <c r="H614" s="578"/>
      <c r="I614" s="605"/>
      <c r="J614" s="578"/>
    </row>
    <row r="615">
      <c r="A615" s="578"/>
      <c r="B615" s="658"/>
      <c r="C615" s="659"/>
      <c r="D615" s="659"/>
      <c r="E615" s="660"/>
      <c r="F615" s="605"/>
      <c r="G615" s="658"/>
      <c r="H615" s="578"/>
      <c r="I615" s="605"/>
      <c r="J615" s="578"/>
    </row>
    <row r="616">
      <c r="A616" s="578"/>
      <c r="B616" s="658"/>
      <c r="C616" s="659"/>
      <c r="D616" s="659"/>
      <c r="E616" s="660"/>
      <c r="F616" s="605"/>
      <c r="G616" s="658"/>
      <c r="H616" s="578"/>
      <c r="I616" s="605"/>
      <c r="J616" s="578"/>
    </row>
    <row r="617">
      <c r="A617" s="578"/>
      <c r="B617" s="658"/>
      <c r="C617" s="659"/>
      <c r="D617" s="659"/>
      <c r="E617" s="660"/>
      <c r="F617" s="605"/>
      <c r="G617" s="658"/>
      <c r="H617" s="578"/>
      <c r="I617" s="605"/>
      <c r="J617" s="578"/>
    </row>
    <row r="618">
      <c r="A618" s="578"/>
      <c r="B618" s="658"/>
      <c r="C618" s="659"/>
      <c r="D618" s="659"/>
      <c r="E618" s="660"/>
      <c r="F618" s="605"/>
      <c r="G618" s="658"/>
      <c r="H618" s="578"/>
      <c r="I618" s="605"/>
      <c r="J618" s="578"/>
    </row>
    <row r="619">
      <c r="A619" s="578"/>
      <c r="B619" s="658"/>
      <c r="C619" s="659"/>
      <c r="D619" s="659"/>
      <c r="E619" s="660"/>
      <c r="F619" s="605"/>
      <c r="G619" s="658"/>
      <c r="H619" s="578"/>
      <c r="I619" s="605"/>
      <c r="J619" s="578"/>
    </row>
    <row r="620">
      <c r="A620" s="578"/>
      <c r="B620" s="658"/>
      <c r="C620" s="659"/>
      <c r="D620" s="659"/>
      <c r="E620" s="660"/>
      <c r="F620" s="605"/>
      <c r="G620" s="658"/>
      <c r="H620" s="578"/>
      <c r="I620" s="605"/>
      <c r="J620" s="578"/>
    </row>
    <row r="621">
      <c r="A621" s="578"/>
      <c r="B621" s="658"/>
      <c r="C621" s="659"/>
      <c r="D621" s="659"/>
      <c r="E621" s="660"/>
      <c r="F621" s="605"/>
      <c r="G621" s="658"/>
      <c r="H621" s="578"/>
      <c r="I621" s="605"/>
      <c r="J621" s="578"/>
    </row>
    <row r="622">
      <c r="A622" s="578"/>
      <c r="B622" s="658"/>
      <c r="C622" s="659"/>
      <c r="D622" s="659"/>
      <c r="E622" s="660"/>
      <c r="F622" s="605"/>
      <c r="G622" s="658"/>
      <c r="H622" s="578"/>
      <c r="I622" s="605"/>
      <c r="J622" s="578"/>
    </row>
    <row r="623">
      <c r="A623" s="578"/>
      <c r="B623" s="658"/>
      <c r="C623" s="659"/>
      <c r="D623" s="659"/>
      <c r="E623" s="660"/>
      <c r="F623" s="605"/>
      <c r="G623" s="658"/>
      <c r="H623" s="578"/>
      <c r="I623" s="605"/>
      <c r="J623" s="578"/>
    </row>
    <row r="624">
      <c r="A624" s="578"/>
      <c r="B624" s="658"/>
      <c r="C624" s="659"/>
      <c r="D624" s="659"/>
      <c r="E624" s="660"/>
      <c r="F624" s="605"/>
      <c r="G624" s="658"/>
      <c r="H624" s="578"/>
      <c r="I624" s="605"/>
      <c r="J624" s="578"/>
    </row>
    <row r="625">
      <c r="A625" s="578"/>
      <c r="B625" s="658"/>
      <c r="C625" s="659"/>
      <c r="D625" s="659"/>
      <c r="E625" s="660"/>
      <c r="F625" s="605"/>
      <c r="G625" s="658"/>
      <c r="H625" s="578"/>
      <c r="I625" s="605"/>
      <c r="J625" s="578"/>
    </row>
    <row r="626">
      <c r="A626" s="578"/>
      <c r="B626" s="658"/>
      <c r="C626" s="659"/>
      <c r="D626" s="659"/>
      <c r="E626" s="660"/>
      <c r="F626" s="605"/>
      <c r="G626" s="658"/>
      <c r="H626" s="578"/>
      <c r="I626" s="605"/>
      <c r="J626" s="578"/>
    </row>
    <row r="627">
      <c r="A627" s="578"/>
      <c r="B627" s="658"/>
      <c r="C627" s="659"/>
      <c r="D627" s="659"/>
      <c r="E627" s="660"/>
      <c r="F627" s="605"/>
      <c r="G627" s="658"/>
      <c r="H627" s="578"/>
      <c r="I627" s="605"/>
      <c r="J627" s="578"/>
    </row>
    <row r="628">
      <c r="A628" s="578"/>
      <c r="B628" s="658"/>
      <c r="C628" s="659"/>
      <c r="D628" s="659"/>
      <c r="E628" s="660"/>
      <c r="F628" s="605"/>
      <c r="G628" s="658"/>
      <c r="H628" s="578"/>
      <c r="I628" s="605"/>
      <c r="J628" s="578"/>
    </row>
    <row r="629">
      <c r="A629" s="578"/>
      <c r="B629" s="658"/>
      <c r="C629" s="659"/>
      <c r="D629" s="659"/>
      <c r="E629" s="660"/>
      <c r="F629" s="605"/>
      <c r="G629" s="658"/>
      <c r="H629" s="578"/>
      <c r="I629" s="605"/>
      <c r="J629" s="578"/>
    </row>
    <row r="630">
      <c r="A630" s="578"/>
      <c r="B630" s="658"/>
      <c r="C630" s="659"/>
      <c r="D630" s="659"/>
      <c r="E630" s="660"/>
      <c r="F630" s="605"/>
      <c r="G630" s="658"/>
      <c r="H630" s="578"/>
      <c r="I630" s="605"/>
      <c r="J630" s="578"/>
    </row>
    <row r="631">
      <c r="A631" s="578"/>
      <c r="B631" s="658"/>
      <c r="C631" s="659"/>
      <c r="D631" s="659"/>
      <c r="E631" s="660"/>
      <c r="F631" s="605"/>
      <c r="G631" s="658"/>
      <c r="H631" s="578"/>
      <c r="I631" s="605"/>
      <c r="J631" s="578"/>
    </row>
    <row r="632">
      <c r="A632" s="578"/>
      <c r="B632" s="658"/>
      <c r="C632" s="659"/>
      <c r="D632" s="659"/>
      <c r="E632" s="660"/>
      <c r="F632" s="605"/>
      <c r="G632" s="658"/>
      <c r="H632" s="578"/>
      <c r="I632" s="605"/>
      <c r="J632" s="578"/>
    </row>
    <row r="633">
      <c r="A633" s="578"/>
      <c r="B633" s="658"/>
      <c r="C633" s="659"/>
      <c r="D633" s="659"/>
      <c r="E633" s="660"/>
      <c r="F633" s="605"/>
      <c r="G633" s="658"/>
      <c r="H633" s="578"/>
      <c r="I633" s="605"/>
      <c r="J633" s="578"/>
    </row>
    <row r="634">
      <c r="A634" s="578"/>
      <c r="B634" s="658"/>
      <c r="C634" s="659"/>
      <c r="D634" s="659"/>
      <c r="E634" s="660"/>
      <c r="F634" s="605"/>
      <c r="G634" s="658"/>
      <c r="H634" s="578"/>
      <c r="I634" s="605"/>
      <c r="J634" s="578"/>
    </row>
    <row r="635">
      <c r="A635" s="578"/>
      <c r="B635" s="658"/>
      <c r="C635" s="659"/>
      <c r="D635" s="659"/>
      <c r="E635" s="660"/>
      <c r="F635" s="605"/>
      <c r="G635" s="658"/>
      <c r="H635" s="578"/>
      <c r="I635" s="605"/>
      <c r="J635" s="578"/>
    </row>
    <row r="636">
      <c r="A636" s="578"/>
      <c r="B636" s="658"/>
      <c r="C636" s="659"/>
      <c r="D636" s="659"/>
      <c r="E636" s="660"/>
      <c r="F636" s="605"/>
      <c r="G636" s="658"/>
      <c r="H636" s="578"/>
      <c r="I636" s="605"/>
      <c r="J636" s="578"/>
    </row>
    <row r="637">
      <c r="A637" s="578"/>
      <c r="B637" s="658"/>
      <c r="C637" s="659"/>
      <c r="D637" s="659"/>
      <c r="E637" s="660"/>
      <c r="F637" s="605"/>
      <c r="G637" s="658"/>
      <c r="H637" s="578"/>
      <c r="I637" s="605"/>
      <c r="J637" s="578"/>
    </row>
    <row r="638">
      <c r="A638" s="578"/>
      <c r="B638" s="658"/>
      <c r="C638" s="659"/>
      <c r="D638" s="659"/>
      <c r="E638" s="660"/>
      <c r="F638" s="605"/>
      <c r="G638" s="658"/>
      <c r="H638" s="578"/>
      <c r="I638" s="605"/>
      <c r="J638" s="578"/>
    </row>
    <row r="639">
      <c r="A639" s="578"/>
      <c r="B639" s="658"/>
      <c r="C639" s="659"/>
      <c r="D639" s="659"/>
      <c r="E639" s="660"/>
      <c r="F639" s="605"/>
      <c r="G639" s="658"/>
      <c r="H639" s="578"/>
      <c r="I639" s="605"/>
      <c r="J639" s="578"/>
    </row>
    <row r="640">
      <c r="A640" s="578"/>
      <c r="B640" s="658"/>
      <c r="C640" s="659"/>
      <c r="D640" s="659"/>
      <c r="E640" s="660"/>
      <c r="F640" s="605"/>
      <c r="G640" s="658"/>
      <c r="H640" s="578"/>
      <c r="I640" s="605"/>
      <c r="J640" s="578"/>
    </row>
    <row r="641">
      <c r="A641" s="578"/>
      <c r="B641" s="658"/>
      <c r="C641" s="659"/>
      <c r="D641" s="659"/>
      <c r="E641" s="660"/>
      <c r="F641" s="605"/>
      <c r="G641" s="658"/>
      <c r="H641" s="578"/>
      <c r="I641" s="605"/>
      <c r="J641" s="578"/>
    </row>
    <row r="642">
      <c r="A642" s="578"/>
      <c r="B642" s="658"/>
      <c r="C642" s="659"/>
      <c r="D642" s="659"/>
      <c r="E642" s="660"/>
      <c r="F642" s="605"/>
      <c r="G642" s="658"/>
      <c r="H642" s="578"/>
      <c r="I642" s="605"/>
      <c r="J642" s="578"/>
    </row>
    <row r="643">
      <c r="A643" s="578"/>
      <c r="B643" s="658"/>
      <c r="C643" s="659"/>
      <c r="D643" s="659"/>
      <c r="E643" s="660"/>
      <c r="F643" s="605"/>
      <c r="G643" s="658"/>
      <c r="H643" s="578"/>
      <c r="I643" s="605"/>
      <c r="J643" s="578"/>
    </row>
    <row r="644">
      <c r="A644" s="578"/>
      <c r="B644" s="658"/>
      <c r="C644" s="659"/>
      <c r="D644" s="659"/>
      <c r="E644" s="660"/>
      <c r="F644" s="605"/>
      <c r="G644" s="658"/>
      <c r="H644" s="578"/>
      <c r="I644" s="605"/>
      <c r="J644" s="578"/>
    </row>
    <row r="645">
      <c r="A645" s="578"/>
      <c r="B645" s="658"/>
      <c r="C645" s="659"/>
      <c r="D645" s="659"/>
      <c r="E645" s="660"/>
      <c r="F645" s="605"/>
      <c r="G645" s="658"/>
      <c r="H645" s="578"/>
      <c r="I645" s="605"/>
      <c r="J645" s="578"/>
    </row>
    <row r="646">
      <c r="A646" s="578"/>
      <c r="B646" s="658"/>
      <c r="C646" s="659"/>
      <c r="D646" s="659"/>
      <c r="E646" s="660"/>
      <c r="F646" s="605"/>
      <c r="G646" s="658"/>
      <c r="H646" s="578"/>
      <c r="I646" s="605"/>
      <c r="J646" s="578"/>
    </row>
    <row r="647">
      <c r="A647" s="578"/>
      <c r="B647" s="658"/>
      <c r="C647" s="659"/>
      <c r="D647" s="659"/>
      <c r="E647" s="660"/>
      <c r="F647" s="605"/>
      <c r="G647" s="658"/>
      <c r="H647" s="578"/>
      <c r="I647" s="605"/>
      <c r="J647" s="578"/>
    </row>
    <row r="648">
      <c r="A648" s="578"/>
      <c r="B648" s="658"/>
      <c r="C648" s="659"/>
      <c r="D648" s="659"/>
      <c r="E648" s="660"/>
      <c r="F648" s="605"/>
      <c r="G648" s="658"/>
      <c r="H648" s="578"/>
      <c r="I648" s="605"/>
      <c r="J648" s="578"/>
    </row>
    <row r="649">
      <c r="A649" s="578"/>
      <c r="B649" s="658"/>
      <c r="C649" s="659"/>
      <c r="D649" s="659"/>
      <c r="E649" s="660"/>
      <c r="F649" s="605"/>
      <c r="G649" s="658"/>
      <c r="H649" s="578"/>
      <c r="I649" s="605"/>
      <c r="J649" s="578"/>
    </row>
    <row r="650">
      <c r="A650" s="578"/>
      <c r="B650" s="658"/>
      <c r="C650" s="659"/>
      <c r="D650" s="659"/>
      <c r="E650" s="660"/>
      <c r="F650" s="605"/>
      <c r="G650" s="658"/>
      <c r="H650" s="578"/>
      <c r="I650" s="605"/>
      <c r="J650" s="578"/>
    </row>
    <row r="651">
      <c r="A651" s="578"/>
      <c r="B651" s="658"/>
      <c r="C651" s="659"/>
      <c r="D651" s="659"/>
      <c r="E651" s="660"/>
      <c r="F651" s="605"/>
      <c r="G651" s="658"/>
      <c r="H651" s="578"/>
      <c r="I651" s="605"/>
      <c r="J651" s="578"/>
    </row>
    <row r="652">
      <c r="A652" s="578"/>
      <c r="B652" s="658"/>
      <c r="C652" s="659"/>
      <c r="D652" s="659"/>
      <c r="E652" s="660"/>
      <c r="F652" s="605"/>
      <c r="G652" s="658"/>
      <c r="H652" s="578"/>
      <c r="I652" s="605"/>
      <c r="J652" s="578"/>
    </row>
    <row r="653">
      <c r="A653" s="578"/>
      <c r="B653" s="658"/>
      <c r="C653" s="659"/>
      <c r="D653" s="659"/>
      <c r="E653" s="660"/>
      <c r="F653" s="605"/>
      <c r="G653" s="658"/>
      <c r="H653" s="578"/>
      <c r="I653" s="605"/>
      <c r="J653" s="578"/>
    </row>
    <row r="654">
      <c r="A654" s="578"/>
      <c r="B654" s="658"/>
      <c r="C654" s="659"/>
      <c r="D654" s="659"/>
      <c r="E654" s="660"/>
      <c r="F654" s="605"/>
      <c r="G654" s="658"/>
      <c r="H654" s="578"/>
      <c r="I654" s="605"/>
      <c r="J654" s="578"/>
    </row>
    <row r="655">
      <c r="A655" s="578"/>
      <c r="B655" s="658"/>
      <c r="C655" s="659"/>
      <c r="D655" s="659"/>
      <c r="E655" s="660"/>
      <c r="F655" s="605"/>
      <c r="G655" s="658"/>
      <c r="H655" s="578"/>
      <c r="I655" s="605"/>
      <c r="J655" s="578"/>
    </row>
    <row r="656">
      <c r="A656" s="578"/>
      <c r="B656" s="658"/>
      <c r="C656" s="659"/>
      <c r="D656" s="659"/>
      <c r="E656" s="660"/>
      <c r="F656" s="605"/>
      <c r="G656" s="658"/>
      <c r="H656" s="578"/>
      <c r="I656" s="605"/>
      <c r="J656" s="578"/>
    </row>
    <row r="657">
      <c r="A657" s="578"/>
      <c r="B657" s="658"/>
      <c r="C657" s="659"/>
      <c r="D657" s="659"/>
      <c r="E657" s="660"/>
      <c r="F657" s="605"/>
      <c r="G657" s="658"/>
      <c r="H657" s="578"/>
      <c r="I657" s="605"/>
      <c r="J657" s="578"/>
    </row>
    <row r="658">
      <c r="A658" s="578"/>
      <c r="B658" s="658"/>
      <c r="C658" s="659"/>
      <c r="D658" s="659"/>
      <c r="E658" s="660"/>
      <c r="F658" s="605"/>
      <c r="G658" s="658"/>
      <c r="H658" s="578"/>
      <c r="I658" s="605"/>
      <c r="J658" s="578"/>
    </row>
    <row r="659">
      <c r="A659" s="578"/>
      <c r="B659" s="658"/>
      <c r="C659" s="659"/>
      <c r="D659" s="659"/>
      <c r="E659" s="660"/>
      <c r="F659" s="605"/>
      <c r="G659" s="658"/>
      <c r="H659" s="578"/>
      <c r="I659" s="605"/>
      <c r="J659" s="578"/>
    </row>
    <row r="660">
      <c r="A660" s="578"/>
      <c r="B660" s="658"/>
      <c r="C660" s="659"/>
      <c r="D660" s="659"/>
      <c r="E660" s="660"/>
      <c r="F660" s="605"/>
      <c r="G660" s="658"/>
      <c r="H660" s="578"/>
      <c r="I660" s="605"/>
      <c r="J660" s="578"/>
    </row>
    <row r="661">
      <c r="A661" s="578"/>
      <c r="B661" s="658"/>
      <c r="C661" s="659"/>
      <c r="D661" s="659"/>
      <c r="E661" s="660"/>
      <c r="F661" s="605"/>
      <c r="G661" s="658"/>
      <c r="H661" s="578"/>
      <c r="I661" s="605"/>
      <c r="J661" s="578"/>
    </row>
    <row r="662">
      <c r="A662" s="578"/>
      <c r="B662" s="658"/>
      <c r="C662" s="659"/>
      <c r="D662" s="659"/>
      <c r="E662" s="660"/>
      <c r="F662" s="605"/>
      <c r="G662" s="658"/>
      <c r="H662" s="578"/>
      <c r="I662" s="605"/>
      <c r="J662" s="578"/>
    </row>
    <row r="663">
      <c r="A663" s="578"/>
      <c r="B663" s="658"/>
      <c r="C663" s="659"/>
      <c r="D663" s="659"/>
      <c r="E663" s="660"/>
      <c r="F663" s="605"/>
      <c r="G663" s="658"/>
      <c r="H663" s="578"/>
      <c r="I663" s="605"/>
      <c r="J663" s="578"/>
    </row>
    <row r="664">
      <c r="A664" s="578"/>
      <c r="B664" s="658"/>
      <c r="C664" s="659"/>
      <c r="D664" s="659"/>
      <c r="E664" s="660"/>
      <c r="F664" s="605"/>
      <c r="G664" s="658"/>
      <c r="H664" s="578"/>
      <c r="I664" s="605"/>
      <c r="J664" s="578"/>
    </row>
    <row r="665">
      <c r="A665" s="578"/>
      <c r="B665" s="658"/>
      <c r="C665" s="659"/>
      <c r="D665" s="659"/>
      <c r="E665" s="660"/>
      <c r="F665" s="605"/>
      <c r="G665" s="658"/>
      <c r="H665" s="578"/>
      <c r="I665" s="605"/>
      <c r="J665" s="578"/>
    </row>
    <row r="666">
      <c r="A666" s="578"/>
      <c r="B666" s="658"/>
      <c r="C666" s="659"/>
      <c r="D666" s="659"/>
      <c r="E666" s="660"/>
      <c r="F666" s="605"/>
      <c r="G666" s="658"/>
      <c r="H666" s="578"/>
      <c r="I666" s="605"/>
      <c r="J666" s="578"/>
    </row>
    <row r="667">
      <c r="A667" s="578"/>
      <c r="B667" s="658"/>
      <c r="C667" s="659"/>
      <c r="D667" s="659"/>
      <c r="E667" s="660"/>
      <c r="F667" s="605"/>
      <c r="G667" s="658"/>
      <c r="H667" s="578"/>
      <c r="I667" s="605"/>
      <c r="J667" s="578"/>
    </row>
    <row r="668">
      <c r="A668" s="578"/>
      <c r="B668" s="658"/>
      <c r="C668" s="659"/>
      <c r="D668" s="659"/>
      <c r="E668" s="660"/>
      <c r="F668" s="605"/>
      <c r="G668" s="658"/>
      <c r="H668" s="578"/>
      <c r="I668" s="605"/>
      <c r="J668" s="578"/>
    </row>
    <row r="669">
      <c r="A669" s="578"/>
      <c r="B669" s="658"/>
      <c r="C669" s="659"/>
      <c r="D669" s="659"/>
      <c r="E669" s="660"/>
      <c r="F669" s="605"/>
      <c r="G669" s="658"/>
      <c r="H669" s="578"/>
      <c r="I669" s="605"/>
      <c r="J669" s="578"/>
    </row>
    <row r="670">
      <c r="A670" s="578"/>
      <c r="B670" s="658"/>
      <c r="C670" s="659"/>
      <c r="D670" s="659"/>
      <c r="E670" s="660"/>
      <c r="F670" s="605"/>
      <c r="G670" s="658"/>
      <c r="H670" s="578"/>
      <c r="I670" s="605"/>
      <c r="J670" s="578"/>
    </row>
    <row r="671">
      <c r="A671" s="578"/>
      <c r="B671" s="658"/>
      <c r="C671" s="659"/>
      <c r="D671" s="659"/>
      <c r="E671" s="660"/>
      <c r="F671" s="605"/>
      <c r="G671" s="658"/>
      <c r="H671" s="578"/>
      <c r="I671" s="605"/>
      <c r="J671" s="578"/>
    </row>
    <row r="672">
      <c r="A672" s="578"/>
      <c r="B672" s="658"/>
      <c r="C672" s="659"/>
      <c r="D672" s="659"/>
      <c r="E672" s="660"/>
      <c r="F672" s="605"/>
      <c r="G672" s="658"/>
      <c r="H672" s="578"/>
      <c r="I672" s="605"/>
      <c r="J672" s="578"/>
    </row>
    <row r="673">
      <c r="A673" s="578"/>
      <c r="B673" s="658"/>
      <c r="C673" s="659"/>
      <c r="D673" s="659"/>
      <c r="E673" s="660"/>
      <c r="F673" s="605"/>
      <c r="G673" s="658"/>
      <c r="H673" s="578"/>
      <c r="I673" s="605"/>
      <c r="J673" s="578"/>
    </row>
    <row r="674">
      <c r="A674" s="578"/>
      <c r="B674" s="658"/>
      <c r="C674" s="659"/>
      <c r="D674" s="659"/>
      <c r="E674" s="660"/>
      <c r="F674" s="605"/>
      <c r="G674" s="658"/>
      <c r="H674" s="578"/>
      <c r="I674" s="605"/>
      <c r="J674" s="578"/>
    </row>
    <row r="675">
      <c r="A675" s="578"/>
      <c r="B675" s="658"/>
      <c r="C675" s="659"/>
      <c r="D675" s="659"/>
      <c r="E675" s="660"/>
      <c r="F675" s="605"/>
      <c r="G675" s="658"/>
      <c r="H675" s="578"/>
      <c r="I675" s="605"/>
      <c r="J675" s="578"/>
    </row>
    <row r="676">
      <c r="A676" s="578"/>
      <c r="B676" s="658"/>
      <c r="C676" s="659"/>
      <c r="D676" s="659"/>
      <c r="E676" s="660"/>
      <c r="F676" s="605"/>
      <c r="G676" s="658"/>
      <c r="H676" s="578"/>
      <c r="I676" s="605"/>
      <c r="J676" s="578"/>
    </row>
    <row r="677">
      <c r="A677" s="578"/>
      <c r="B677" s="658"/>
      <c r="C677" s="659"/>
      <c r="D677" s="659"/>
      <c r="E677" s="660"/>
      <c r="F677" s="605"/>
      <c r="G677" s="658"/>
      <c r="H677" s="578"/>
      <c r="I677" s="605"/>
      <c r="J677" s="578"/>
    </row>
    <row r="678">
      <c r="A678" s="578"/>
      <c r="B678" s="658"/>
      <c r="C678" s="659"/>
      <c r="D678" s="659"/>
      <c r="E678" s="660"/>
      <c r="F678" s="605"/>
      <c r="G678" s="658"/>
      <c r="H678" s="578"/>
      <c r="I678" s="605"/>
      <c r="J678" s="578"/>
    </row>
    <row r="679">
      <c r="A679" s="578"/>
      <c r="B679" s="658"/>
      <c r="C679" s="659"/>
      <c r="D679" s="659"/>
      <c r="E679" s="660"/>
      <c r="F679" s="605"/>
      <c r="G679" s="658"/>
      <c r="H679" s="578"/>
      <c r="I679" s="605"/>
      <c r="J679" s="578"/>
    </row>
    <row r="680">
      <c r="A680" s="578"/>
      <c r="B680" s="658"/>
      <c r="C680" s="659"/>
      <c r="D680" s="659"/>
      <c r="E680" s="660"/>
      <c r="F680" s="605"/>
      <c r="G680" s="658"/>
      <c r="H680" s="578"/>
      <c r="I680" s="605"/>
      <c r="J680" s="578"/>
    </row>
    <row r="681">
      <c r="A681" s="578"/>
      <c r="B681" s="658"/>
      <c r="C681" s="659"/>
      <c r="D681" s="659"/>
      <c r="E681" s="660"/>
      <c r="F681" s="605"/>
      <c r="G681" s="658"/>
      <c r="H681" s="578"/>
      <c r="I681" s="605"/>
      <c r="J681" s="578"/>
    </row>
    <row r="682">
      <c r="A682" s="578"/>
      <c r="B682" s="658"/>
      <c r="C682" s="659"/>
      <c r="D682" s="659"/>
      <c r="E682" s="660"/>
      <c r="F682" s="605"/>
      <c r="G682" s="658"/>
      <c r="H682" s="578"/>
      <c r="I682" s="605"/>
      <c r="J682" s="578"/>
    </row>
    <row r="683">
      <c r="A683" s="578"/>
      <c r="B683" s="658"/>
      <c r="C683" s="659"/>
      <c r="D683" s="659"/>
      <c r="E683" s="660"/>
      <c r="F683" s="605"/>
      <c r="G683" s="658"/>
      <c r="H683" s="578"/>
      <c r="I683" s="605"/>
      <c r="J683" s="578"/>
    </row>
    <row r="684">
      <c r="A684" s="578"/>
      <c r="B684" s="658"/>
      <c r="C684" s="659"/>
      <c r="D684" s="659"/>
      <c r="E684" s="660"/>
      <c r="F684" s="605"/>
      <c r="G684" s="658"/>
      <c r="H684" s="578"/>
      <c r="I684" s="605"/>
      <c r="J684" s="578"/>
    </row>
    <row r="685">
      <c r="A685" s="578"/>
      <c r="B685" s="658"/>
      <c r="C685" s="659"/>
      <c r="D685" s="659"/>
      <c r="E685" s="660"/>
      <c r="F685" s="605"/>
      <c r="G685" s="658"/>
      <c r="H685" s="578"/>
      <c r="I685" s="605"/>
      <c r="J685" s="578"/>
    </row>
    <row r="686">
      <c r="A686" s="578"/>
      <c r="B686" s="658"/>
      <c r="C686" s="659"/>
      <c r="D686" s="659"/>
      <c r="E686" s="660"/>
      <c r="F686" s="605"/>
      <c r="G686" s="658"/>
      <c r="H686" s="578"/>
      <c r="I686" s="605"/>
      <c r="J686" s="578"/>
    </row>
    <row r="687">
      <c r="A687" s="578"/>
      <c r="B687" s="658"/>
      <c r="C687" s="659"/>
      <c r="D687" s="659"/>
      <c r="E687" s="660"/>
      <c r="F687" s="605"/>
      <c r="G687" s="658"/>
      <c r="H687" s="578"/>
      <c r="I687" s="605"/>
      <c r="J687" s="578"/>
    </row>
    <row r="688">
      <c r="A688" s="578"/>
      <c r="B688" s="658"/>
      <c r="C688" s="659"/>
      <c r="D688" s="659"/>
      <c r="E688" s="660"/>
      <c r="F688" s="605"/>
      <c r="G688" s="658"/>
      <c r="H688" s="578"/>
      <c r="I688" s="605"/>
      <c r="J688" s="578"/>
    </row>
    <row r="689">
      <c r="A689" s="578"/>
      <c r="B689" s="658"/>
      <c r="C689" s="659"/>
      <c r="D689" s="659"/>
      <c r="E689" s="660"/>
      <c r="F689" s="605"/>
      <c r="G689" s="658"/>
      <c r="H689" s="578"/>
      <c r="I689" s="605"/>
      <c r="J689" s="578"/>
    </row>
    <row r="690">
      <c r="A690" s="578"/>
      <c r="B690" s="658"/>
      <c r="C690" s="659"/>
      <c r="D690" s="659"/>
      <c r="E690" s="660"/>
      <c r="F690" s="605"/>
      <c r="G690" s="658"/>
      <c r="H690" s="578"/>
      <c r="I690" s="605"/>
      <c r="J690" s="578"/>
    </row>
    <row r="691">
      <c r="A691" s="578"/>
      <c r="B691" s="658"/>
      <c r="C691" s="659"/>
      <c r="D691" s="659"/>
      <c r="E691" s="660"/>
      <c r="F691" s="605"/>
      <c r="G691" s="658"/>
      <c r="H691" s="578"/>
      <c r="I691" s="605"/>
      <c r="J691" s="578"/>
    </row>
    <row r="692">
      <c r="A692" s="578"/>
      <c r="B692" s="658"/>
      <c r="C692" s="659"/>
      <c r="D692" s="659"/>
      <c r="E692" s="660"/>
      <c r="F692" s="605"/>
      <c r="G692" s="658"/>
      <c r="H692" s="578"/>
      <c r="I692" s="605"/>
      <c r="J692" s="578"/>
    </row>
    <row r="693">
      <c r="A693" s="578"/>
      <c r="B693" s="658"/>
      <c r="C693" s="659"/>
      <c r="D693" s="659"/>
      <c r="E693" s="660"/>
      <c r="F693" s="605"/>
      <c r="G693" s="658"/>
      <c r="H693" s="578"/>
      <c r="I693" s="605"/>
      <c r="J693" s="578"/>
    </row>
    <row r="694">
      <c r="A694" s="578"/>
      <c r="B694" s="658"/>
      <c r="C694" s="659"/>
      <c r="D694" s="659"/>
      <c r="E694" s="660"/>
      <c r="F694" s="605"/>
      <c r="G694" s="658"/>
      <c r="H694" s="578"/>
      <c r="I694" s="605"/>
      <c r="J694" s="578"/>
    </row>
    <row r="695">
      <c r="A695" s="578"/>
      <c r="B695" s="658"/>
      <c r="C695" s="659"/>
      <c r="D695" s="659"/>
      <c r="E695" s="660"/>
      <c r="F695" s="605"/>
      <c r="G695" s="658"/>
      <c r="H695" s="578"/>
      <c r="I695" s="605"/>
      <c r="J695" s="578"/>
    </row>
    <row r="696">
      <c r="A696" s="578"/>
      <c r="B696" s="658"/>
      <c r="C696" s="659"/>
      <c r="D696" s="659"/>
      <c r="E696" s="660"/>
      <c r="F696" s="605"/>
      <c r="G696" s="658"/>
      <c r="H696" s="578"/>
      <c r="I696" s="605"/>
      <c r="J696" s="578"/>
    </row>
    <row r="697">
      <c r="A697" s="578"/>
      <c r="B697" s="658"/>
      <c r="C697" s="659"/>
      <c r="D697" s="659"/>
      <c r="E697" s="660"/>
      <c r="F697" s="605"/>
      <c r="G697" s="658"/>
      <c r="H697" s="578"/>
      <c r="I697" s="605"/>
      <c r="J697" s="578"/>
    </row>
    <row r="698">
      <c r="A698" s="578"/>
      <c r="B698" s="658"/>
      <c r="C698" s="659"/>
      <c r="D698" s="659"/>
      <c r="E698" s="660"/>
      <c r="F698" s="605"/>
      <c r="G698" s="658"/>
      <c r="H698" s="578"/>
      <c r="I698" s="605"/>
      <c r="J698" s="578"/>
    </row>
    <row r="699">
      <c r="A699" s="578"/>
      <c r="B699" s="658"/>
      <c r="C699" s="659"/>
      <c r="D699" s="659"/>
      <c r="E699" s="660"/>
      <c r="F699" s="605"/>
      <c r="G699" s="658"/>
      <c r="H699" s="578"/>
      <c r="I699" s="605"/>
      <c r="J699" s="578"/>
    </row>
    <row r="700">
      <c r="A700" s="578"/>
      <c r="B700" s="658"/>
      <c r="C700" s="659"/>
      <c r="D700" s="659"/>
      <c r="E700" s="660"/>
      <c r="F700" s="605"/>
      <c r="G700" s="658"/>
      <c r="H700" s="578"/>
      <c r="I700" s="605"/>
      <c r="J700" s="578"/>
    </row>
    <row r="701">
      <c r="A701" s="578"/>
      <c r="B701" s="658"/>
      <c r="C701" s="659"/>
      <c r="D701" s="659"/>
      <c r="E701" s="660"/>
      <c r="F701" s="605"/>
      <c r="G701" s="658"/>
      <c r="H701" s="578"/>
      <c r="I701" s="605"/>
      <c r="J701" s="578"/>
    </row>
    <row r="702">
      <c r="A702" s="578"/>
      <c r="B702" s="658"/>
      <c r="C702" s="659"/>
      <c r="D702" s="659"/>
      <c r="E702" s="660"/>
      <c r="F702" s="605"/>
      <c r="G702" s="658"/>
      <c r="H702" s="578"/>
      <c r="I702" s="605"/>
      <c r="J702" s="578"/>
    </row>
    <row r="703">
      <c r="A703" s="578"/>
      <c r="B703" s="658"/>
      <c r="C703" s="659"/>
      <c r="D703" s="659"/>
      <c r="E703" s="660"/>
      <c r="F703" s="605"/>
      <c r="G703" s="658"/>
      <c r="H703" s="578"/>
      <c r="I703" s="605"/>
      <c r="J703" s="578"/>
    </row>
    <row r="704">
      <c r="A704" s="578"/>
      <c r="B704" s="658"/>
      <c r="C704" s="659"/>
      <c r="D704" s="659"/>
      <c r="E704" s="660"/>
      <c r="F704" s="605"/>
      <c r="G704" s="658"/>
      <c r="H704" s="578"/>
      <c r="I704" s="605"/>
      <c r="J704" s="578"/>
    </row>
    <row r="705">
      <c r="A705" s="578"/>
      <c r="B705" s="658"/>
      <c r="C705" s="659"/>
      <c r="D705" s="659"/>
      <c r="E705" s="660"/>
      <c r="F705" s="605"/>
      <c r="G705" s="658"/>
      <c r="H705" s="578"/>
      <c r="I705" s="605"/>
      <c r="J705" s="578"/>
    </row>
    <row r="706">
      <c r="A706" s="578"/>
      <c r="B706" s="658"/>
      <c r="C706" s="659"/>
      <c r="D706" s="659"/>
      <c r="E706" s="660"/>
      <c r="F706" s="605"/>
      <c r="G706" s="658"/>
      <c r="H706" s="578"/>
      <c r="I706" s="605"/>
      <c r="J706" s="578"/>
    </row>
    <row r="707">
      <c r="A707" s="578"/>
      <c r="B707" s="658"/>
      <c r="C707" s="659"/>
      <c r="D707" s="659"/>
      <c r="E707" s="660"/>
      <c r="F707" s="605"/>
      <c r="G707" s="658"/>
      <c r="H707" s="578"/>
      <c r="I707" s="605"/>
      <c r="J707" s="578"/>
    </row>
    <row r="708">
      <c r="A708" s="578"/>
      <c r="B708" s="658"/>
      <c r="C708" s="659"/>
      <c r="D708" s="659"/>
      <c r="E708" s="660"/>
      <c r="F708" s="605"/>
      <c r="G708" s="658"/>
      <c r="H708" s="578"/>
      <c r="I708" s="605"/>
      <c r="J708" s="578"/>
    </row>
    <row r="709">
      <c r="A709" s="578"/>
      <c r="B709" s="658"/>
      <c r="C709" s="659"/>
      <c r="D709" s="659"/>
      <c r="E709" s="660"/>
      <c r="F709" s="605"/>
      <c r="G709" s="658"/>
      <c r="H709" s="578"/>
      <c r="I709" s="605"/>
      <c r="J709" s="578"/>
    </row>
    <row r="710">
      <c r="A710" s="578"/>
      <c r="B710" s="658"/>
      <c r="C710" s="659"/>
      <c r="D710" s="659"/>
      <c r="E710" s="660"/>
      <c r="F710" s="605"/>
      <c r="G710" s="658"/>
      <c r="H710" s="578"/>
      <c r="I710" s="605"/>
      <c r="J710" s="578"/>
    </row>
    <row r="711">
      <c r="A711" s="578"/>
      <c r="B711" s="658"/>
      <c r="C711" s="659"/>
      <c r="D711" s="659"/>
      <c r="E711" s="660"/>
      <c r="F711" s="605"/>
      <c r="G711" s="658"/>
      <c r="H711" s="578"/>
      <c r="I711" s="605"/>
      <c r="J711" s="578"/>
    </row>
    <row r="712">
      <c r="A712" s="578"/>
      <c r="B712" s="658"/>
      <c r="C712" s="659"/>
      <c r="D712" s="659"/>
      <c r="E712" s="660"/>
      <c r="F712" s="605"/>
      <c r="G712" s="658"/>
      <c r="H712" s="578"/>
      <c r="I712" s="605"/>
      <c r="J712" s="578"/>
    </row>
    <row r="713">
      <c r="A713" s="578"/>
      <c r="B713" s="658"/>
      <c r="C713" s="659"/>
      <c r="D713" s="659"/>
      <c r="E713" s="660"/>
      <c r="F713" s="605"/>
      <c r="G713" s="658"/>
      <c r="H713" s="578"/>
      <c r="I713" s="605"/>
      <c r="J713" s="578"/>
    </row>
    <row r="714">
      <c r="A714" s="578"/>
      <c r="B714" s="658"/>
      <c r="C714" s="659"/>
      <c r="D714" s="659"/>
      <c r="E714" s="660"/>
      <c r="F714" s="605"/>
      <c r="G714" s="658"/>
      <c r="H714" s="578"/>
      <c r="I714" s="605"/>
      <c r="J714" s="578"/>
    </row>
    <row r="715">
      <c r="A715" s="578"/>
      <c r="B715" s="658"/>
      <c r="C715" s="659"/>
      <c r="D715" s="659"/>
      <c r="E715" s="660"/>
      <c r="F715" s="605"/>
      <c r="G715" s="658"/>
      <c r="H715" s="578"/>
      <c r="I715" s="605"/>
      <c r="J715" s="578"/>
    </row>
    <row r="716">
      <c r="A716" s="578"/>
      <c r="B716" s="658"/>
      <c r="C716" s="659"/>
      <c r="D716" s="659"/>
      <c r="E716" s="660"/>
      <c r="F716" s="605"/>
      <c r="G716" s="658"/>
      <c r="H716" s="578"/>
      <c r="I716" s="605"/>
      <c r="J716" s="578"/>
    </row>
    <row r="717">
      <c r="A717" s="578"/>
      <c r="B717" s="658"/>
      <c r="C717" s="659"/>
      <c r="D717" s="659"/>
      <c r="E717" s="660"/>
      <c r="F717" s="605"/>
      <c r="G717" s="658"/>
      <c r="H717" s="578"/>
      <c r="I717" s="605"/>
      <c r="J717" s="578"/>
    </row>
    <row r="718">
      <c r="A718" s="578"/>
      <c r="B718" s="658"/>
      <c r="C718" s="659"/>
      <c r="D718" s="659"/>
      <c r="E718" s="660"/>
      <c r="F718" s="605"/>
      <c r="G718" s="658"/>
      <c r="H718" s="578"/>
      <c r="I718" s="605"/>
      <c r="J718" s="578"/>
    </row>
    <row r="719">
      <c r="A719" s="578"/>
      <c r="B719" s="658"/>
      <c r="C719" s="659"/>
      <c r="D719" s="659"/>
      <c r="E719" s="660"/>
      <c r="F719" s="605"/>
      <c r="G719" s="658"/>
      <c r="H719" s="578"/>
      <c r="I719" s="605"/>
      <c r="J719" s="578"/>
    </row>
    <row r="720">
      <c r="A720" s="578"/>
      <c r="B720" s="658"/>
      <c r="C720" s="659"/>
      <c r="D720" s="659"/>
      <c r="E720" s="660"/>
      <c r="F720" s="605"/>
      <c r="G720" s="658"/>
      <c r="H720" s="578"/>
      <c r="I720" s="605"/>
      <c r="J720" s="578"/>
    </row>
    <row r="721">
      <c r="A721" s="578"/>
      <c r="B721" s="658"/>
      <c r="C721" s="659"/>
      <c r="D721" s="659"/>
      <c r="E721" s="660"/>
      <c r="F721" s="605"/>
      <c r="G721" s="658"/>
      <c r="H721" s="578"/>
      <c r="I721" s="605"/>
      <c r="J721" s="578"/>
    </row>
    <row r="722">
      <c r="A722" s="578"/>
      <c r="B722" s="658"/>
      <c r="C722" s="659"/>
      <c r="D722" s="659"/>
      <c r="E722" s="660"/>
      <c r="F722" s="605"/>
      <c r="G722" s="658"/>
      <c r="H722" s="578"/>
      <c r="I722" s="605"/>
      <c r="J722" s="578"/>
    </row>
    <row r="723">
      <c r="A723" s="578"/>
      <c r="B723" s="658"/>
      <c r="C723" s="659"/>
      <c r="D723" s="659"/>
      <c r="E723" s="660"/>
      <c r="F723" s="605"/>
      <c r="G723" s="658"/>
      <c r="H723" s="578"/>
      <c r="I723" s="605"/>
      <c r="J723" s="578"/>
    </row>
    <row r="724">
      <c r="A724" s="578"/>
      <c r="B724" s="658"/>
      <c r="C724" s="659"/>
      <c r="D724" s="659"/>
      <c r="E724" s="660"/>
      <c r="F724" s="605"/>
      <c r="G724" s="658"/>
      <c r="H724" s="578"/>
      <c r="I724" s="605"/>
      <c r="J724" s="578"/>
    </row>
    <row r="725">
      <c r="A725" s="578"/>
      <c r="B725" s="658"/>
      <c r="C725" s="659"/>
      <c r="D725" s="659"/>
      <c r="E725" s="660"/>
      <c r="F725" s="605"/>
      <c r="G725" s="658"/>
      <c r="H725" s="578"/>
      <c r="I725" s="605"/>
      <c r="J725" s="578"/>
    </row>
    <row r="726">
      <c r="A726" s="578"/>
      <c r="B726" s="658"/>
      <c r="C726" s="659"/>
      <c r="D726" s="659"/>
      <c r="E726" s="660"/>
      <c r="F726" s="605"/>
      <c r="G726" s="658"/>
      <c r="H726" s="578"/>
      <c r="I726" s="605"/>
      <c r="J726" s="578"/>
    </row>
    <row r="727">
      <c r="A727" s="578"/>
      <c r="B727" s="658"/>
      <c r="C727" s="659"/>
      <c r="D727" s="659"/>
      <c r="E727" s="660"/>
      <c r="F727" s="605"/>
      <c r="G727" s="658"/>
      <c r="H727" s="578"/>
      <c r="I727" s="605"/>
      <c r="J727" s="578"/>
    </row>
    <row r="728">
      <c r="A728" s="578"/>
      <c r="B728" s="658"/>
      <c r="C728" s="659"/>
      <c r="D728" s="659"/>
      <c r="E728" s="660"/>
      <c r="F728" s="605"/>
      <c r="G728" s="658"/>
      <c r="H728" s="578"/>
      <c r="I728" s="605"/>
      <c r="J728" s="578"/>
    </row>
    <row r="729">
      <c r="A729" s="578"/>
      <c r="B729" s="658"/>
      <c r="C729" s="659"/>
      <c r="D729" s="659"/>
      <c r="E729" s="660"/>
      <c r="F729" s="605"/>
      <c r="G729" s="658"/>
      <c r="H729" s="578"/>
      <c r="I729" s="605"/>
      <c r="J729" s="578"/>
    </row>
    <row r="730">
      <c r="A730" s="578"/>
      <c r="B730" s="658"/>
      <c r="C730" s="659"/>
      <c r="D730" s="659"/>
      <c r="E730" s="660"/>
      <c r="F730" s="605"/>
      <c r="G730" s="658"/>
      <c r="H730" s="578"/>
      <c r="I730" s="605"/>
      <c r="J730" s="578"/>
    </row>
    <row r="731">
      <c r="A731" s="578"/>
      <c r="B731" s="658"/>
      <c r="C731" s="659"/>
      <c r="D731" s="659"/>
      <c r="E731" s="660"/>
      <c r="F731" s="605"/>
      <c r="G731" s="658"/>
      <c r="H731" s="578"/>
      <c r="I731" s="605"/>
      <c r="J731" s="578"/>
    </row>
    <row r="732">
      <c r="A732" s="578"/>
      <c r="B732" s="658"/>
      <c r="C732" s="659"/>
      <c r="D732" s="659"/>
      <c r="E732" s="660"/>
      <c r="F732" s="605"/>
      <c r="G732" s="658"/>
      <c r="H732" s="578"/>
      <c r="I732" s="605"/>
      <c r="J732" s="578"/>
    </row>
    <row r="733">
      <c r="A733" s="578"/>
      <c r="B733" s="658"/>
      <c r="C733" s="659"/>
      <c r="D733" s="659"/>
      <c r="E733" s="660"/>
      <c r="F733" s="605"/>
      <c r="G733" s="658"/>
      <c r="H733" s="578"/>
      <c r="I733" s="605"/>
      <c r="J733" s="578"/>
    </row>
    <row r="734">
      <c r="A734" s="578"/>
      <c r="B734" s="658"/>
      <c r="C734" s="659"/>
      <c r="D734" s="659"/>
      <c r="E734" s="660"/>
      <c r="F734" s="605"/>
      <c r="G734" s="658"/>
      <c r="H734" s="578"/>
      <c r="I734" s="605"/>
      <c r="J734" s="578"/>
    </row>
    <row r="735">
      <c r="A735" s="578"/>
      <c r="B735" s="658"/>
      <c r="C735" s="659"/>
      <c r="D735" s="659"/>
      <c r="E735" s="660"/>
      <c r="F735" s="605"/>
      <c r="G735" s="658"/>
      <c r="H735" s="578"/>
      <c r="I735" s="605"/>
      <c r="J735" s="578"/>
    </row>
    <row r="736">
      <c r="A736" s="578"/>
      <c r="B736" s="658"/>
      <c r="C736" s="659"/>
      <c r="D736" s="659"/>
      <c r="E736" s="660"/>
      <c r="F736" s="605"/>
      <c r="G736" s="658"/>
      <c r="H736" s="578"/>
      <c r="I736" s="605"/>
      <c r="J736" s="578"/>
    </row>
    <row r="737">
      <c r="A737" s="578"/>
      <c r="B737" s="658"/>
      <c r="C737" s="659"/>
      <c r="D737" s="659"/>
      <c r="E737" s="660"/>
      <c r="F737" s="605"/>
      <c r="G737" s="658"/>
      <c r="H737" s="578"/>
      <c r="I737" s="605"/>
      <c r="J737" s="578"/>
    </row>
    <row r="738">
      <c r="A738" s="578"/>
      <c r="B738" s="658"/>
      <c r="C738" s="659"/>
      <c r="D738" s="659"/>
      <c r="E738" s="660"/>
      <c r="F738" s="605"/>
      <c r="G738" s="658"/>
      <c r="H738" s="578"/>
      <c r="I738" s="605"/>
      <c r="J738" s="578"/>
    </row>
    <row r="739">
      <c r="A739" s="578"/>
      <c r="B739" s="658"/>
      <c r="C739" s="659"/>
      <c r="D739" s="659"/>
      <c r="E739" s="660"/>
      <c r="F739" s="605"/>
      <c r="G739" s="658"/>
      <c r="H739" s="578"/>
      <c r="I739" s="605"/>
      <c r="J739" s="578"/>
    </row>
    <row r="740">
      <c r="A740" s="578"/>
      <c r="B740" s="658"/>
      <c r="C740" s="659"/>
      <c r="D740" s="659"/>
      <c r="E740" s="660"/>
      <c r="F740" s="605"/>
      <c r="G740" s="658"/>
      <c r="H740" s="578"/>
      <c r="I740" s="605"/>
      <c r="J740" s="578"/>
    </row>
    <row r="741">
      <c r="A741" s="578"/>
      <c r="B741" s="658"/>
      <c r="C741" s="659"/>
      <c r="D741" s="659"/>
      <c r="E741" s="660"/>
      <c r="F741" s="605"/>
      <c r="G741" s="658"/>
      <c r="H741" s="578"/>
      <c r="I741" s="605"/>
      <c r="J741" s="578"/>
    </row>
    <row r="742">
      <c r="A742" s="578"/>
      <c r="B742" s="658"/>
      <c r="C742" s="659"/>
      <c r="D742" s="659"/>
      <c r="E742" s="660"/>
      <c r="F742" s="605"/>
      <c r="G742" s="658"/>
      <c r="H742" s="578"/>
      <c r="I742" s="605"/>
      <c r="J742" s="578"/>
    </row>
    <row r="743">
      <c r="A743" s="578"/>
      <c r="B743" s="658"/>
      <c r="C743" s="659"/>
      <c r="D743" s="659"/>
      <c r="E743" s="660"/>
      <c r="F743" s="605"/>
      <c r="G743" s="658"/>
      <c r="H743" s="578"/>
      <c r="I743" s="605"/>
      <c r="J743" s="578"/>
    </row>
    <row r="744">
      <c r="A744" s="578"/>
      <c r="B744" s="658"/>
      <c r="C744" s="659"/>
      <c r="D744" s="659"/>
      <c r="E744" s="660"/>
      <c r="F744" s="605"/>
      <c r="G744" s="658"/>
      <c r="H744" s="578"/>
      <c r="I744" s="605"/>
      <c r="J744" s="578"/>
    </row>
    <row r="745">
      <c r="A745" s="578"/>
      <c r="B745" s="658"/>
      <c r="C745" s="659"/>
      <c r="D745" s="659"/>
      <c r="E745" s="660"/>
      <c r="F745" s="605"/>
      <c r="G745" s="658"/>
      <c r="H745" s="578"/>
      <c r="I745" s="605"/>
      <c r="J745" s="578"/>
    </row>
    <row r="746">
      <c r="A746" s="578"/>
      <c r="B746" s="658"/>
      <c r="C746" s="659"/>
      <c r="D746" s="659"/>
      <c r="E746" s="660"/>
      <c r="F746" s="605"/>
      <c r="G746" s="658"/>
      <c r="H746" s="578"/>
      <c r="I746" s="605"/>
      <c r="J746" s="578"/>
    </row>
    <row r="747">
      <c r="A747" s="578"/>
      <c r="B747" s="658"/>
      <c r="C747" s="659"/>
      <c r="D747" s="659"/>
      <c r="E747" s="660"/>
      <c r="F747" s="605"/>
      <c r="G747" s="658"/>
      <c r="H747" s="578"/>
      <c r="I747" s="605"/>
      <c r="J747" s="578"/>
    </row>
    <row r="748">
      <c r="A748" s="578"/>
      <c r="B748" s="658"/>
      <c r="C748" s="659"/>
      <c r="D748" s="659"/>
      <c r="E748" s="660"/>
      <c r="F748" s="605"/>
      <c r="G748" s="658"/>
      <c r="H748" s="578"/>
      <c r="I748" s="605"/>
      <c r="J748" s="578"/>
    </row>
    <row r="749">
      <c r="A749" s="578"/>
      <c r="B749" s="658"/>
      <c r="C749" s="659"/>
      <c r="D749" s="659"/>
      <c r="E749" s="660"/>
      <c r="F749" s="605"/>
      <c r="G749" s="658"/>
      <c r="H749" s="578"/>
      <c r="I749" s="605"/>
      <c r="J749" s="578"/>
    </row>
    <row r="750">
      <c r="A750" s="578"/>
      <c r="B750" s="658"/>
      <c r="C750" s="659"/>
      <c r="D750" s="659"/>
      <c r="E750" s="660"/>
      <c r="F750" s="605"/>
      <c r="G750" s="658"/>
      <c r="H750" s="578"/>
      <c r="I750" s="605"/>
      <c r="J750" s="578"/>
    </row>
    <row r="751">
      <c r="A751" s="578"/>
      <c r="B751" s="658"/>
      <c r="C751" s="659"/>
      <c r="D751" s="659"/>
      <c r="E751" s="660"/>
      <c r="F751" s="605"/>
      <c r="G751" s="658"/>
      <c r="H751" s="578"/>
      <c r="I751" s="605"/>
      <c r="J751" s="578"/>
    </row>
    <row r="752">
      <c r="A752" s="578"/>
      <c r="B752" s="658"/>
      <c r="C752" s="659"/>
      <c r="D752" s="659"/>
      <c r="E752" s="660"/>
      <c r="F752" s="605"/>
      <c r="G752" s="658"/>
      <c r="H752" s="578"/>
      <c r="I752" s="605"/>
      <c r="J752" s="578"/>
    </row>
    <row r="753">
      <c r="A753" s="578"/>
      <c r="B753" s="658"/>
      <c r="C753" s="659"/>
      <c r="D753" s="659"/>
      <c r="E753" s="660"/>
      <c r="F753" s="605"/>
      <c r="G753" s="658"/>
      <c r="H753" s="578"/>
      <c r="I753" s="605"/>
      <c r="J753" s="578"/>
    </row>
    <row r="754">
      <c r="A754" s="578"/>
      <c r="B754" s="658"/>
      <c r="C754" s="659"/>
      <c r="D754" s="659"/>
      <c r="E754" s="660"/>
      <c r="F754" s="605"/>
      <c r="G754" s="658"/>
      <c r="H754" s="578"/>
      <c r="I754" s="605"/>
      <c r="J754" s="578"/>
    </row>
    <row r="755">
      <c r="A755" s="578"/>
      <c r="B755" s="658"/>
      <c r="C755" s="659"/>
      <c r="D755" s="659"/>
      <c r="E755" s="660"/>
      <c r="F755" s="605"/>
      <c r="G755" s="658"/>
      <c r="H755" s="578"/>
      <c r="I755" s="605"/>
      <c r="J755" s="578"/>
    </row>
    <row r="756">
      <c r="A756" s="578"/>
      <c r="B756" s="658"/>
      <c r="C756" s="659"/>
      <c r="D756" s="659"/>
      <c r="E756" s="660"/>
      <c r="F756" s="605"/>
      <c r="G756" s="658"/>
      <c r="H756" s="578"/>
      <c r="I756" s="605"/>
      <c r="J756" s="578"/>
    </row>
    <row r="757">
      <c r="A757" s="578"/>
      <c r="B757" s="658"/>
      <c r="C757" s="659"/>
      <c r="D757" s="659"/>
      <c r="E757" s="660"/>
      <c r="F757" s="605"/>
      <c r="G757" s="658"/>
      <c r="H757" s="578"/>
      <c r="I757" s="605"/>
      <c r="J757" s="578"/>
    </row>
    <row r="758">
      <c r="A758" s="578"/>
      <c r="B758" s="658"/>
      <c r="C758" s="659"/>
      <c r="D758" s="659"/>
      <c r="E758" s="660"/>
      <c r="F758" s="605"/>
      <c r="G758" s="658"/>
      <c r="H758" s="578"/>
      <c r="I758" s="605"/>
      <c r="J758" s="578"/>
    </row>
    <row r="759">
      <c r="A759" s="578"/>
      <c r="B759" s="658"/>
      <c r="C759" s="659"/>
      <c r="D759" s="659"/>
      <c r="E759" s="660"/>
      <c r="F759" s="605"/>
      <c r="G759" s="658"/>
      <c r="H759" s="578"/>
      <c r="I759" s="605"/>
      <c r="J759" s="578"/>
    </row>
    <row r="760">
      <c r="A760" s="578"/>
      <c r="B760" s="658"/>
      <c r="C760" s="659"/>
      <c r="D760" s="659"/>
      <c r="E760" s="660"/>
      <c r="F760" s="605"/>
      <c r="G760" s="658"/>
      <c r="H760" s="578"/>
      <c r="I760" s="605"/>
      <c r="J760" s="578"/>
    </row>
    <row r="761">
      <c r="A761" s="578"/>
      <c r="B761" s="658"/>
      <c r="C761" s="659"/>
      <c r="D761" s="659"/>
      <c r="E761" s="660"/>
      <c r="F761" s="605"/>
      <c r="G761" s="658"/>
      <c r="H761" s="578"/>
      <c r="I761" s="605"/>
      <c r="J761" s="578"/>
    </row>
    <row r="762">
      <c r="A762" s="578"/>
      <c r="B762" s="658"/>
      <c r="C762" s="659"/>
      <c r="D762" s="659"/>
      <c r="E762" s="660"/>
      <c r="F762" s="605"/>
      <c r="G762" s="658"/>
      <c r="H762" s="578"/>
      <c r="I762" s="605"/>
      <c r="J762" s="578"/>
    </row>
    <row r="763">
      <c r="A763" s="578"/>
      <c r="B763" s="658"/>
      <c r="C763" s="659"/>
      <c r="D763" s="659"/>
      <c r="E763" s="660"/>
      <c r="F763" s="605"/>
      <c r="G763" s="658"/>
      <c r="H763" s="578"/>
      <c r="I763" s="605"/>
      <c r="J763" s="578"/>
    </row>
    <row r="764">
      <c r="A764" s="578"/>
      <c r="B764" s="658"/>
      <c r="C764" s="659"/>
      <c r="D764" s="659"/>
      <c r="E764" s="660"/>
      <c r="F764" s="605"/>
      <c r="G764" s="658"/>
      <c r="H764" s="578"/>
      <c r="I764" s="605"/>
      <c r="J764" s="578"/>
    </row>
    <row r="765">
      <c r="A765" s="578"/>
      <c r="B765" s="658"/>
      <c r="C765" s="659"/>
      <c r="D765" s="659"/>
      <c r="E765" s="660"/>
      <c r="F765" s="605"/>
      <c r="G765" s="658"/>
      <c r="H765" s="578"/>
      <c r="I765" s="605"/>
      <c r="J765" s="578"/>
    </row>
    <row r="766">
      <c r="A766" s="578"/>
      <c r="B766" s="658"/>
      <c r="C766" s="659"/>
      <c r="D766" s="659"/>
      <c r="E766" s="660"/>
      <c r="F766" s="605"/>
      <c r="G766" s="658"/>
      <c r="H766" s="578"/>
      <c r="I766" s="605"/>
      <c r="J766" s="578"/>
    </row>
    <row r="767">
      <c r="A767" s="578"/>
      <c r="B767" s="658"/>
      <c r="C767" s="659"/>
      <c r="D767" s="659"/>
      <c r="E767" s="660"/>
      <c r="F767" s="605"/>
      <c r="G767" s="658"/>
      <c r="H767" s="578"/>
      <c r="I767" s="605"/>
      <c r="J767" s="578"/>
    </row>
    <row r="768">
      <c r="A768" s="578"/>
      <c r="B768" s="658"/>
      <c r="C768" s="659"/>
      <c r="D768" s="659"/>
      <c r="E768" s="660"/>
      <c r="F768" s="605"/>
      <c r="G768" s="658"/>
      <c r="H768" s="578"/>
      <c r="I768" s="605"/>
      <c r="J768" s="578"/>
    </row>
    <row r="769">
      <c r="A769" s="578"/>
      <c r="B769" s="658"/>
      <c r="C769" s="659"/>
      <c r="D769" s="659"/>
      <c r="E769" s="660"/>
      <c r="F769" s="605"/>
      <c r="G769" s="658"/>
      <c r="H769" s="578"/>
      <c r="I769" s="605"/>
      <c r="J769" s="578"/>
    </row>
    <row r="770">
      <c r="A770" s="578"/>
      <c r="B770" s="658"/>
      <c r="C770" s="659"/>
      <c r="D770" s="659"/>
      <c r="E770" s="660"/>
      <c r="F770" s="605"/>
      <c r="G770" s="658"/>
      <c r="H770" s="578"/>
      <c r="I770" s="605"/>
      <c r="J770" s="578"/>
    </row>
    <row r="771">
      <c r="A771" s="578"/>
      <c r="B771" s="658"/>
      <c r="C771" s="659"/>
      <c r="D771" s="659"/>
      <c r="E771" s="660"/>
      <c r="F771" s="605"/>
      <c r="G771" s="658"/>
      <c r="H771" s="578"/>
      <c r="I771" s="605"/>
      <c r="J771" s="578"/>
    </row>
    <row r="772">
      <c r="A772" s="578"/>
      <c r="B772" s="658"/>
      <c r="C772" s="659"/>
      <c r="D772" s="659"/>
      <c r="E772" s="660"/>
      <c r="F772" s="605"/>
      <c r="G772" s="658"/>
      <c r="H772" s="578"/>
      <c r="I772" s="605"/>
      <c r="J772" s="578"/>
    </row>
    <row r="773">
      <c r="A773" s="578"/>
      <c r="B773" s="658"/>
      <c r="C773" s="659"/>
      <c r="D773" s="659"/>
      <c r="E773" s="660"/>
      <c r="F773" s="605"/>
      <c r="G773" s="658"/>
      <c r="H773" s="578"/>
      <c r="I773" s="605"/>
      <c r="J773" s="578"/>
    </row>
    <row r="774">
      <c r="A774" s="578"/>
      <c r="B774" s="658"/>
      <c r="C774" s="659"/>
      <c r="D774" s="659"/>
      <c r="E774" s="660"/>
      <c r="F774" s="605"/>
      <c r="G774" s="658"/>
      <c r="H774" s="578"/>
      <c r="I774" s="605"/>
      <c r="J774" s="578"/>
    </row>
    <row r="775">
      <c r="A775" s="578"/>
      <c r="B775" s="658"/>
      <c r="C775" s="659"/>
      <c r="D775" s="659"/>
      <c r="E775" s="660"/>
      <c r="F775" s="605"/>
      <c r="G775" s="658"/>
      <c r="H775" s="578"/>
      <c r="I775" s="605"/>
      <c r="J775" s="578"/>
    </row>
    <row r="776">
      <c r="A776" s="578"/>
      <c r="B776" s="658"/>
      <c r="C776" s="659"/>
      <c r="D776" s="659"/>
      <c r="E776" s="660"/>
      <c r="F776" s="605"/>
      <c r="G776" s="658"/>
      <c r="H776" s="578"/>
      <c r="I776" s="605"/>
      <c r="J776" s="578"/>
    </row>
    <row r="777">
      <c r="A777" s="578"/>
      <c r="B777" s="658"/>
      <c r="C777" s="659"/>
      <c r="D777" s="659"/>
      <c r="E777" s="660"/>
      <c r="F777" s="605"/>
      <c r="G777" s="658"/>
      <c r="H777" s="578"/>
      <c r="I777" s="605"/>
      <c r="J777" s="578"/>
    </row>
    <row r="778">
      <c r="A778" s="578"/>
      <c r="B778" s="658"/>
      <c r="C778" s="659"/>
      <c r="D778" s="659"/>
      <c r="E778" s="660"/>
      <c r="F778" s="605"/>
      <c r="G778" s="658"/>
      <c r="H778" s="578"/>
      <c r="I778" s="605"/>
      <c r="J778" s="578"/>
    </row>
    <row r="779">
      <c r="A779" s="578"/>
      <c r="B779" s="658"/>
      <c r="C779" s="659"/>
      <c r="D779" s="659"/>
      <c r="E779" s="660"/>
      <c r="F779" s="605"/>
      <c r="G779" s="658"/>
      <c r="H779" s="578"/>
      <c r="I779" s="605"/>
      <c r="J779" s="578"/>
    </row>
    <row r="780">
      <c r="A780" s="578"/>
      <c r="B780" s="658"/>
      <c r="C780" s="659"/>
      <c r="D780" s="659"/>
      <c r="E780" s="660"/>
      <c r="F780" s="605"/>
      <c r="G780" s="658"/>
      <c r="H780" s="578"/>
      <c r="I780" s="605"/>
      <c r="J780" s="578"/>
    </row>
    <row r="781">
      <c r="A781" s="578"/>
      <c r="B781" s="658"/>
      <c r="C781" s="659"/>
      <c r="D781" s="659"/>
      <c r="E781" s="660"/>
      <c r="F781" s="605"/>
      <c r="G781" s="658"/>
      <c r="H781" s="578"/>
      <c r="I781" s="605"/>
      <c r="J781" s="578"/>
    </row>
    <row r="782">
      <c r="A782" s="578"/>
      <c r="B782" s="658"/>
      <c r="C782" s="659"/>
      <c r="D782" s="659"/>
      <c r="E782" s="660"/>
      <c r="F782" s="605"/>
      <c r="G782" s="658"/>
      <c r="H782" s="578"/>
      <c r="I782" s="605"/>
      <c r="J782" s="578"/>
    </row>
    <row r="783">
      <c r="A783" s="578"/>
      <c r="B783" s="658"/>
      <c r="C783" s="659"/>
      <c r="D783" s="659"/>
      <c r="E783" s="660"/>
      <c r="F783" s="605"/>
      <c r="G783" s="658"/>
      <c r="H783" s="578"/>
      <c r="I783" s="605"/>
      <c r="J783" s="578"/>
    </row>
    <row r="784">
      <c r="A784" s="578"/>
      <c r="B784" s="658"/>
      <c r="C784" s="659"/>
      <c r="D784" s="659"/>
      <c r="E784" s="660"/>
      <c r="F784" s="605"/>
      <c r="G784" s="658"/>
      <c r="H784" s="578"/>
      <c r="I784" s="605"/>
      <c r="J784" s="578"/>
    </row>
    <row r="785">
      <c r="A785" s="578"/>
      <c r="B785" s="658"/>
      <c r="C785" s="659"/>
      <c r="D785" s="659"/>
      <c r="E785" s="660"/>
      <c r="F785" s="605"/>
      <c r="G785" s="658"/>
      <c r="H785" s="578"/>
      <c r="I785" s="605"/>
      <c r="J785" s="578"/>
    </row>
    <row r="786">
      <c r="A786" s="578"/>
      <c r="B786" s="658"/>
      <c r="C786" s="659"/>
      <c r="D786" s="659"/>
      <c r="E786" s="660"/>
      <c r="F786" s="605"/>
      <c r="G786" s="658"/>
      <c r="H786" s="578"/>
      <c r="I786" s="605"/>
      <c r="J786" s="578"/>
    </row>
    <row r="787">
      <c r="A787" s="578"/>
      <c r="B787" s="658"/>
      <c r="C787" s="659"/>
      <c r="D787" s="659"/>
      <c r="E787" s="660"/>
      <c r="F787" s="605"/>
      <c r="G787" s="658"/>
      <c r="H787" s="578"/>
      <c r="I787" s="605"/>
      <c r="J787" s="578"/>
    </row>
    <row r="788">
      <c r="A788" s="578"/>
      <c r="B788" s="658"/>
      <c r="C788" s="659"/>
      <c r="D788" s="659"/>
      <c r="E788" s="660"/>
      <c r="F788" s="605"/>
      <c r="G788" s="658"/>
      <c r="H788" s="578"/>
      <c r="I788" s="605"/>
      <c r="J788" s="578"/>
    </row>
    <row r="789">
      <c r="A789" s="578"/>
      <c r="B789" s="658"/>
      <c r="C789" s="659"/>
      <c r="D789" s="659"/>
      <c r="E789" s="660"/>
      <c r="F789" s="605"/>
      <c r="G789" s="658"/>
      <c r="H789" s="578"/>
      <c r="I789" s="605"/>
      <c r="J789" s="578"/>
    </row>
    <row r="790">
      <c r="A790" s="578"/>
      <c r="B790" s="658"/>
      <c r="C790" s="659"/>
      <c r="D790" s="659"/>
      <c r="E790" s="660"/>
      <c r="F790" s="605"/>
      <c r="G790" s="658"/>
      <c r="H790" s="578"/>
      <c r="I790" s="605"/>
      <c r="J790" s="578"/>
    </row>
    <row r="791">
      <c r="A791" s="578"/>
      <c r="B791" s="658"/>
      <c r="C791" s="659"/>
      <c r="D791" s="659"/>
      <c r="E791" s="660"/>
      <c r="F791" s="605"/>
      <c r="G791" s="658"/>
      <c r="H791" s="578"/>
      <c r="I791" s="605"/>
      <c r="J791" s="578"/>
    </row>
    <row r="792">
      <c r="A792" s="578"/>
      <c r="B792" s="658"/>
      <c r="C792" s="659"/>
      <c r="D792" s="659"/>
      <c r="E792" s="660"/>
      <c r="F792" s="605"/>
      <c r="G792" s="658"/>
      <c r="H792" s="578"/>
      <c r="I792" s="605"/>
      <c r="J792" s="578"/>
    </row>
    <row r="793">
      <c r="A793" s="578"/>
      <c r="B793" s="658"/>
      <c r="C793" s="659"/>
      <c r="D793" s="659"/>
      <c r="E793" s="660"/>
      <c r="F793" s="605"/>
      <c r="G793" s="658"/>
      <c r="H793" s="578"/>
      <c r="I793" s="605"/>
      <c r="J793" s="578"/>
    </row>
    <row r="794">
      <c r="A794" s="578"/>
      <c r="B794" s="658"/>
      <c r="C794" s="659"/>
      <c r="D794" s="659"/>
      <c r="E794" s="660"/>
      <c r="F794" s="605"/>
      <c r="G794" s="658"/>
      <c r="H794" s="578"/>
      <c r="I794" s="605"/>
      <c r="J794" s="578"/>
    </row>
    <row r="795">
      <c r="A795" s="578"/>
      <c r="B795" s="658"/>
      <c r="C795" s="659"/>
      <c r="D795" s="659"/>
      <c r="E795" s="660"/>
      <c r="F795" s="605"/>
      <c r="G795" s="658"/>
      <c r="H795" s="578"/>
      <c r="I795" s="605"/>
      <c r="J795" s="578"/>
    </row>
    <row r="796">
      <c r="A796" s="578"/>
      <c r="B796" s="658"/>
      <c r="C796" s="659"/>
      <c r="D796" s="659"/>
      <c r="E796" s="660"/>
      <c r="F796" s="605"/>
      <c r="G796" s="658"/>
      <c r="H796" s="578"/>
      <c r="I796" s="605"/>
      <c r="J796" s="578"/>
    </row>
    <row r="797">
      <c r="A797" s="578"/>
      <c r="B797" s="658"/>
      <c r="C797" s="659"/>
      <c r="D797" s="659"/>
      <c r="E797" s="660"/>
      <c r="F797" s="605"/>
      <c r="G797" s="658"/>
      <c r="H797" s="578"/>
      <c r="I797" s="605"/>
      <c r="J797" s="578"/>
    </row>
    <row r="798">
      <c r="A798" s="578"/>
      <c r="B798" s="658"/>
      <c r="C798" s="659"/>
      <c r="D798" s="659"/>
      <c r="E798" s="660"/>
      <c r="F798" s="605"/>
      <c r="G798" s="658"/>
      <c r="H798" s="578"/>
      <c r="I798" s="605"/>
      <c r="J798" s="578"/>
    </row>
    <row r="799">
      <c r="A799" s="578"/>
      <c r="B799" s="658"/>
      <c r="C799" s="659"/>
      <c r="D799" s="659"/>
      <c r="E799" s="660"/>
      <c r="F799" s="605"/>
      <c r="G799" s="658"/>
      <c r="H799" s="578"/>
      <c r="I799" s="605"/>
      <c r="J799" s="578"/>
    </row>
    <row r="800">
      <c r="A800" s="578"/>
      <c r="B800" s="658"/>
      <c r="C800" s="659"/>
      <c r="D800" s="659"/>
      <c r="E800" s="660"/>
      <c r="F800" s="605"/>
      <c r="G800" s="658"/>
      <c r="H800" s="578"/>
      <c r="I800" s="605"/>
      <c r="J800" s="578"/>
    </row>
    <row r="801">
      <c r="A801" s="578"/>
      <c r="B801" s="658"/>
      <c r="C801" s="659"/>
      <c r="D801" s="659"/>
      <c r="E801" s="660"/>
      <c r="F801" s="605"/>
      <c r="G801" s="658"/>
      <c r="H801" s="578"/>
      <c r="I801" s="605"/>
      <c r="J801" s="578"/>
    </row>
    <row r="802">
      <c r="A802" s="578"/>
      <c r="B802" s="658"/>
      <c r="C802" s="659"/>
      <c r="D802" s="659"/>
      <c r="E802" s="660"/>
      <c r="F802" s="605"/>
      <c r="G802" s="658"/>
      <c r="H802" s="578"/>
      <c r="I802" s="605"/>
      <c r="J802" s="578"/>
    </row>
    <row r="803">
      <c r="A803" s="578"/>
      <c r="B803" s="658"/>
      <c r="C803" s="659"/>
      <c r="D803" s="659"/>
      <c r="E803" s="660"/>
      <c r="F803" s="605"/>
      <c r="G803" s="658"/>
      <c r="H803" s="578"/>
      <c r="I803" s="605"/>
      <c r="J803" s="578"/>
    </row>
    <row r="804">
      <c r="A804" s="578"/>
      <c r="B804" s="658"/>
      <c r="C804" s="659"/>
      <c r="D804" s="659"/>
      <c r="E804" s="660"/>
      <c r="F804" s="605"/>
      <c r="G804" s="658"/>
      <c r="H804" s="578"/>
      <c r="I804" s="605"/>
      <c r="J804" s="578"/>
    </row>
    <row r="805">
      <c r="A805" s="578"/>
      <c r="B805" s="658"/>
      <c r="C805" s="659"/>
      <c r="D805" s="659"/>
      <c r="E805" s="660"/>
      <c r="F805" s="605"/>
      <c r="G805" s="658"/>
      <c r="H805" s="578"/>
      <c r="I805" s="605"/>
      <c r="J805" s="578"/>
    </row>
    <row r="806">
      <c r="A806" s="578"/>
      <c r="B806" s="658"/>
      <c r="C806" s="659"/>
      <c r="D806" s="659"/>
      <c r="E806" s="660"/>
      <c r="F806" s="605"/>
      <c r="G806" s="658"/>
      <c r="H806" s="578"/>
      <c r="I806" s="605"/>
      <c r="J806" s="578"/>
    </row>
    <row r="807">
      <c r="A807" s="578"/>
      <c r="B807" s="658"/>
      <c r="C807" s="659"/>
      <c r="D807" s="659"/>
      <c r="E807" s="660"/>
      <c r="F807" s="605"/>
      <c r="G807" s="658"/>
      <c r="H807" s="578"/>
      <c r="I807" s="605"/>
      <c r="J807" s="578"/>
    </row>
    <row r="808">
      <c r="A808" s="578"/>
      <c r="B808" s="658"/>
      <c r="C808" s="659"/>
      <c r="D808" s="659"/>
      <c r="E808" s="660"/>
      <c r="F808" s="605"/>
      <c r="G808" s="658"/>
      <c r="H808" s="578"/>
      <c r="I808" s="605"/>
      <c r="J808" s="578"/>
    </row>
    <row r="809">
      <c r="A809" s="578"/>
      <c r="B809" s="658"/>
      <c r="C809" s="659"/>
      <c r="D809" s="659"/>
      <c r="E809" s="660"/>
      <c r="F809" s="605"/>
      <c r="G809" s="658"/>
      <c r="H809" s="578"/>
      <c r="I809" s="605"/>
      <c r="J809" s="578"/>
    </row>
    <row r="810">
      <c r="A810" s="578"/>
      <c r="B810" s="658"/>
      <c r="C810" s="659"/>
      <c r="D810" s="659"/>
      <c r="E810" s="660"/>
      <c r="F810" s="605"/>
      <c r="G810" s="658"/>
      <c r="H810" s="578"/>
      <c r="I810" s="605"/>
      <c r="J810" s="578"/>
    </row>
    <row r="811">
      <c r="A811" s="578"/>
      <c r="B811" s="658"/>
      <c r="C811" s="659"/>
      <c r="D811" s="659"/>
      <c r="E811" s="660"/>
      <c r="F811" s="605"/>
      <c r="G811" s="658"/>
      <c r="H811" s="578"/>
      <c r="I811" s="605"/>
      <c r="J811" s="578"/>
    </row>
    <row r="812">
      <c r="A812" s="578"/>
      <c r="B812" s="658"/>
      <c r="C812" s="659"/>
      <c r="D812" s="659"/>
      <c r="E812" s="660"/>
      <c r="F812" s="605"/>
      <c r="G812" s="658"/>
      <c r="H812" s="578"/>
      <c r="I812" s="605"/>
      <c r="J812" s="578"/>
    </row>
    <row r="813">
      <c r="A813" s="578"/>
      <c r="B813" s="658"/>
      <c r="C813" s="659"/>
      <c r="D813" s="659"/>
      <c r="E813" s="660"/>
      <c r="F813" s="605"/>
      <c r="G813" s="658"/>
      <c r="H813" s="578"/>
      <c r="I813" s="605"/>
      <c r="J813" s="578"/>
    </row>
    <row r="814">
      <c r="A814" s="578"/>
      <c r="B814" s="658"/>
      <c r="C814" s="659"/>
      <c r="D814" s="659"/>
      <c r="E814" s="660"/>
      <c r="F814" s="605"/>
      <c r="G814" s="658"/>
      <c r="H814" s="578"/>
      <c r="I814" s="605"/>
      <c r="J814" s="578"/>
    </row>
    <row r="815">
      <c r="A815" s="578"/>
      <c r="B815" s="658"/>
      <c r="C815" s="659"/>
      <c r="D815" s="659"/>
      <c r="E815" s="660"/>
      <c r="F815" s="605"/>
      <c r="G815" s="658"/>
      <c r="H815" s="578"/>
      <c r="I815" s="605"/>
      <c r="J815" s="578"/>
    </row>
    <row r="816">
      <c r="A816" s="578"/>
      <c r="B816" s="658"/>
      <c r="C816" s="659"/>
      <c r="D816" s="659"/>
      <c r="E816" s="660"/>
      <c r="F816" s="605"/>
      <c r="G816" s="658"/>
      <c r="H816" s="578"/>
      <c r="I816" s="605"/>
      <c r="J816" s="578"/>
    </row>
    <row r="817">
      <c r="A817" s="578"/>
      <c r="B817" s="658"/>
      <c r="C817" s="659"/>
      <c r="D817" s="659"/>
      <c r="E817" s="660"/>
      <c r="F817" s="605"/>
      <c r="G817" s="658"/>
      <c r="H817" s="578"/>
      <c r="I817" s="605"/>
      <c r="J817" s="578"/>
    </row>
    <row r="818">
      <c r="A818" s="578"/>
      <c r="B818" s="658"/>
      <c r="C818" s="659"/>
      <c r="D818" s="659"/>
      <c r="E818" s="660"/>
      <c r="F818" s="605"/>
      <c r="G818" s="658"/>
      <c r="H818" s="578"/>
      <c r="I818" s="605"/>
      <c r="J818" s="578"/>
    </row>
    <row r="819">
      <c r="A819" s="578"/>
      <c r="B819" s="658"/>
      <c r="C819" s="659"/>
      <c r="D819" s="659"/>
      <c r="E819" s="660"/>
      <c r="F819" s="605"/>
      <c r="G819" s="658"/>
      <c r="H819" s="578"/>
      <c r="I819" s="605"/>
      <c r="J819" s="578"/>
    </row>
    <row r="820">
      <c r="A820" s="578"/>
      <c r="B820" s="658"/>
      <c r="C820" s="659"/>
      <c r="D820" s="659"/>
      <c r="E820" s="660"/>
      <c r="F820" s="605"/>
      <c r="G820" s="658"/>
      <c r="H820" s="578"/>
      <c r="I820" s="605"/>
      <c r="J820" s="578"/>
    </row>
    <row r="821">
      <c r="A821" s="578"/>
      <c r="B821" s="658"/>
      <c r="C821" s="659"/>
      <c r="D821" s="659"/>
      <c r="E821" s="660"/>
      <c r="F821" s="605"/>
      <c r="G821" s="658"/>
      <c r="H821" s="578"/>
      <c r="I821" s="605"/>
      <c r="J821" s="578"/>
    </row>
    <row r="822">
      <c r="A822" s="578"/>
      <c r="B822" s="658"/>
      <c r="C822" s="659"/>
      <c r="D822" s="659"/>
      <c r="E822" s="660"/>
      <c r="F822" s="605"/>
      <c r="G822" s="658"/>
      <c r="H822" s="578"/>
      <c r="I822" s="605"/>
      <c r="J822" s="578"/>
    </row>
    <row r="823">
      <c r="A823" s="578"/>
      <c r="B823" s="658"/>
      <c r="C823" s="659"/>
      <c r="D823" s="659"/>
      <c r="E823" s="660"/>
      <c r="F823" s="605"/>
      <c r="G823" s="658"/>
      <c r="H823" s="578"/>
      <c r="I823" s="605"/>
      <c r="J823" s="578"/>
    </row>
    <row r="824">
      <c r="A824" s="578"/>
      <c r="B824" s="658"/>
      <c r="C824" s="659"/>
      <c r="D824" s="659"/>
      <c r="E824" s="660"/>
      <c r="F824" s="605"/>
      <c r="G824" s="658"/>
      <c r="H824" s="578"/>
      <c r="I824" s="605"/>
      <c r="J824" s="578"/>
    </row>
    <row r="825">
      <c r="A825" s="578"/>
      <c r="B825" s="658"/>
      <c r="C825" s="659"/>
      <c r="D825" s="659"/>
      <c r="E825" s="660"/>
      <c r="F825" s="605"/>
      <c r="G825" s="658"/>
      <c r="H825" s="578"/>
      <c r="I825" s="605"/>
      <c r="J825" s="578"/>
    </row>
    <row r="826">
      <c r="A826" s="578"/>
      <c r="B826" s="658"/>
      <c r="C826" s="659"/>
      <c r="D826" s="659"/>
      <c r="E826" s="660"/>
      <c r="F826" s="605"/>
      <c r="G826" s="658"/>
      <c r="H826" s="578"/>
      <c r="I826" s="605"/>
      <c r="J826" s="578"/>
    </row>
    <row r="827">
      <c r="A827" s="578"/>
      <c r="B827" s="658"/>
      <c r="C827" s="659"/>
      <c r="D827" s="659"/>
      <c r="E827" s="660"/>
      <c r="F827" s="605"/>
      <c r="G827" s="658"/>
      <c r="H827" s="578"/>
      <c r="I827" s="605"/>
      <c r="J827" s="578"/>
    </row>
    <row r="828">
      <c r="A828" s="578"/>
      <c r="B828" s="658"/>
      <c r="C828" s="659"/>
      <c r="D828" s="659"/>
      <c r="E828" s="660"/>
      <c r="F828" s="605"/>
      <c r="G828" s="658"/>
      <c r="H828" s="578"/>
      <c r="I828" s="605"/>
      <c r="J828" s="578"/>
    </row>
    <row r="829">
      <c r="A829" s="578"/>
      <c r="B829" s="658"/>
      <c r="C829" s="659"/>
      <c r="D829" s="659"/>
      <c r="E829" s="660"/>
      <c r="F829" s="605"/>
      <c r="G829" s="658"/>
      <c r="H829" s="578"/>
      <c r="I829" s="605"/>
      <c r="J829" s="578"/>
    </row>
    <row r="830">
      <c r="A830" s="578"/>
      <c r="B830" s="658"/>
      <c r="C830" s="659"/>
      <c r="D830" s="659"/>
      <c r="E830" s="660"/>
      <c r="F830" s="605"/>
      <c r="G830" s="658"/>
      <c r="H830" s="578"/>
      <c r="I830" s="605"/>
      <c r="J830" s="578"/>
    </row>
    <row r="831">
      <c r="A831" s="578"/>
      <c r="B831" s="658"/>
      <c r="C831" s="659"/>
      <c r="D831" s="659"/>
      <c r="E831" s="660"/>
      <c r="F831" s="605"/>
      <c r="G831" s="658"/>
      <c r="H831" s="578"/>
      <c r="I831" s="605"/>
      <c r="J831" s="578"/>
    </row>
    <row r="832">
      <c r="A832" s="578"/>
      <c r="B832" s="658"/>
      <c r="C832" s="659"/>
      <c r="D832" s="659"/>
      <c r="E832" s="660"/>
      <c r="F832" s="605"/>
      <c r="G832" s="658"/>
      <c r="H832" s="578"/>
      <c r="I832" s="605"/>
      <c r="J832" s="578"/>
    </row>
    <row r="833">
      <c r="A833" s="578"/>
      <c r="B833" s="658"/>
      <c r="C833" s="659"/>
      <c r="D833" s="659"/>
      <c r="E833" s="660"/>
      <c r="F833" s="605"/>
      <c r="G833" s="658"/>
      <c r="H833" s="578"/>
      <c r="I833" s="605"/>
      <c r="J833" s="578"/>
    </row>
    <row r="834">
      <c r="A834" s="578"/>
      <c r="B834" s="658"/>
      <c r="C834" s="659"/>
      <c r="D834" s="659"/>
      <c r="E834" s="660"/>
      <c r="F834" s="605"/>
      <c r="G834" s="658"/>
      <c r="H834" s="578"/>
      <c r="I834" s="605"/>
      <c r="J834" s="578"/>
    </row>
    <row r="835">
      <c r="A835" s="578"/>
      <c r="B835" s="658"/>
      <c r="C835" s="659"/>
      <c r="D835" s="659"/>
      <c r="E835" s="660"/>
      <c r="F835" s="605"/>
      <c r="G835" s="658"/>
      <c r="H835" s="578"/>
      <c r="I835" s="605"/>
      <c r="J835" s="578"/>
    </row>
    <row r="836">
      <c r="A836" s="578"/>
      <c r="B836" s="658"/>
      <c r="C836" s="659"/>
      <c r="D836" s="659"/>
      <c r="E836" s="660"/>
      <c r="F836" s="605"/>
      <c r="G836" s="658"/>
      <c r="H836" s="578"/>
      <c r="I836" s="605"/>
      <c r="J836" s="578"/>
    </row>
    <row r="837">
      <c r="A837" s="578"/>
      <c r="B837" s="658"/>
      <c r="C837" s="659"/>
      <c r="D837" s="659"/>
      <c r="E837" s="660"/>
      <c r="F837" s="605"/>
      <c r="G837" s="658"/>
      <c r="H837" s="578"/>
      <c r="I837" s="605"/>
      <c r="J837" s="578"/>
    </row>
    <row r="838">
      <c r="A838" s="578"/>
      <c r="B838" s="658"/>
      <c r="C838" s="659"/>
      <c r="D838" s="659"/>
      <c r="E838" s="660"/>
      <c r="F838" s="605"/>
      <c r="G838" s="658"/>
      <c r="H838" s="578"/>
      <c r="I838" s="605"/>
      <c r="J838" s="578"/>
    </row>
    <row r="839">
      <c r="A839" s="578"/>
      <c r="B839" s="658"/>
      <c r="C839" s="659"/>
      <c r="D839" s="659"/>
      <c r="E839" s="660"/>
      <c r="F839" s="605"/>
      <c r="G839" s="658"/>
      <c r="H839" s="578"/>
      <c r="I839" s="605"/>
      <c r="J839" s="578"/>
    </row>
    <row r="840">
      <c r="A840" s="578"/>
      <c r="B840" s="658"/>
      <c r="C840" s="659"/>
      <c r="D840" s="659"/>
      <c r="E840" s="660"/>
      <c r="F840" s="605"/>
      <c r="G840" s="658"/>
      <c r="H840" s="578"/>
      <c r="I840" s="605"/>
      <c r="J840" s="578"/>
    </row>
    <row r="841">
      <c r="A841" s="578"/>
      <c r="B841" s="658"/>
      <c r="C841" s="659"/>
      <c r="D841" s="659"/>
      <c r="E841" s="660"/>
      <c r="F841" s="605"/>
      <c r="G841" s="658"/>
      <c r="H841" s="578"/>
      <c r="I841" s="605"/>
      <c r="J841" s="578"/>
    </row>
    <row r="842">
      <c r="A842" s="578"/>
      <c r="B842" s="658"/>
      <c r="C842" s="659"/>
      <c r="D842" s="659"/>
      <c r="E842" s="660"/>
      <c r="F842" s="605"/>
      <c r="G842" s="658"/>
      <c r="H842" s="578"/>
      <c r="I842" s="605"/>
      <c r="J842" s="578"/>
    </row>
    <row r="843">
      <c r="A843" s="578"/>
      <c r="B843" s="658"/>
      <c r="C843" s="659"/>
      <c r="D843" s="659"/>
      <c r="E843" s="660"/>
      <c r="F843" s="605"/>
      <c r="G843" s="658"/>
      <c r="H843" s="578"/>
      <c r="I843" s="605"/>
      <c r="J843" s="578"/>
    </row>
    <row r="844">
      <c r="A844" s="578"/>
      <c r="B844" s="658"/>
      <c r="C844" s="659"/>
      <c r="D844" s="659"/>
      <c r="E844" s="660"/>
      <c r="F844" s="605"/>
      <c r="G844" s="658"/>
      <c r="H844" s="578"/>
      <c r="I844" s="605"/>
      <c r="J844" s="578"/>
    </row>
    <row r="845">
      <c r="A845" s="578"/>
      <c r="B845" s="658"/>
      <c r="C845" s="659"/>
      <c r="D845" s="659"/>
      <c r="E845" s="660"/>
      <c r="F845" s="605"/>
      <c r="G845" s="658"/>
      <c r="H845" s="578"/>
      <c r="I845" s="605"/>
      <c r="J845" s="578"/>
    </row>
    <row r="846">
      <c r="A846" s="578"/>
      <c r="B846" s="658"/>
      <c r="C846" s="659"/>
      <c r="D846" s="659"/>
      <c r="E846" s="660"/>
      <c r="F846" s="605"/>
      <c r="G846" s="658"/>
      <c r="H846" s="578"/>
      <c r="I846" s="605"/>
      <c r="J846" s="578"/>
    </row>
    <row r="847">
      <c r="A847" s="578"/>
      <c r="B847" s="658"/>
      <c r="C847" s="659"/>
      <c r="D847" s="659"/>
      <c r="E847" s="660"/>
      <c r="F847" s="605"/>
      <c r="G847" s="658"/>
      <c r="H847" s="578"/>
      <c r="I847" s="605"/>
      <c r="J847" s="578"/>
    </row>
    <row r="848">
      <c r="A848" s="578"/>
      <c r="B848" s="658"/>
      <c r="C848" s="659"/>
      <c r="D848" s="659"/>
      <c r="E848" s="660"/>
      <c r="F848" s="605"/>
      <c r="G848" s="658"/>
      <c r="H848" s="578"/>
      <c r="I848" s="605"/>
      <c r="J848" s="578"/>
    </row>
    <row r="849">
      <c r="A849" s="578"/>
      <c r="B849" s="658"/>
      <c r="C849" s="659"/>
      <c r="D849" s="659"/>
      <c r="E849" s="660"/>
      <c r="F849" s="605"/>
      <c r="G849" s="658"/>
      <c r="H849" s="578"/>
      <c r="I849" s="605"/>
      <c r="J849" s="578"/>
    </row>
    <row r="850">
      <c r="A850" s="578"/>
      <c r="B850" s="658"/>
      <c r="C850" s="659"/>
      <c r="D850" s="659"/>
      <c r="E850" s="660"/>
      <c r="F850" s="605"/>
      <c r="G850" s="658"/>
      <c r="H850" s="578"/>
      <c r="I850" s="605"/>
      <c r="J850" s="578"/>
    </row>
    <row r="851">
      <c r="A851" s="578"/>
      <c r="B851" s="658"/>
      <c r="C851" s="659"/>
      <c r="D851" s="659"/>
      <c r="E851" s="660"/>
      <c r="F851" s="605"/>
      <c r="G851" s="658"/>
      <c r="H851" s="578"/>
      <c r="I851" s="605"/>
      <c r="J851" s="578"/>
    </row>
    <row r="852">
      <c r="A852" s="578"/>
      <c r="B852" s="658"/>
      <c r="C852" s="659"/>
      <c r="D852" s="659"/>
      <c r="E852" s="660"/>
      <c r="F852" s="605"/>
      <c r="G852" s="658"/>
      <c r="H852" s="578"/>
      <c r="I852" s="605"/>
      <c r="J852" s="578"/>
    </row>
    <row r="853">
      <c r="A853" s="578"/>
      <c r="B853" s="658"/>
      <c r="C853" s="659"/>
      <c r="D853" s="659"/>
      <c r="E853" s="660"/>
      <c r="F853" s="605"/>
      <c r="G853" s="658"/>
      <c r="H853" s="578"/>
      <c r="I853" s="605"/>
      <c r="J853" s="578"/>
    </row>
    <row r="854">
      <c r="A854" s="578"/>
      <c r="B854" s="658"/>
      <c r="C854" s="659"/>
      <c r="D854" s="659"/>
      <c r="E854" s="660"/>
      <c r="F854" s="605"/>
      <c r="G854" s="658"/>
      <c r="H854" s="578"/>
      <c r="I854" s="605"/>
      <c r="J854" s="578"/>
    </row>
    <row r="855">
      <c r="A855" s="578"/>
      <c r="B855" s="658"/>
      <c r="C855" s="659"/>
      <c r="D855" s="659"/>
      <c r="E855" s="660"/>
      <c r="F855" s="605"/>
      <c r="G855" s="658"/>
      <c r="H855" s="578"/>
      <c r="I855" s="605"/>
      <c r="J855" s="578"/>
    </row>
    <row r="856">
      <c r="A856" s="578"/>
      <c r="B856" s="658"/>
      <c r="C856" s="659"/>
      <c r="D856" s="659"/>
      <c r="E856" s="660"/>
      <c r="F856" s="605"/>
      <c r="G856" s="658"/>
      <c r="H856" s="578"/>
      <c r="I856" s="605"/>
      <c r="J856" s="578"/>
    </row>
    <row r="857">
      <c r="A857" s="578"/>
      <c r="B857" s="658"/>
      <c r="C857" s="659"/>
      <c r="D857" s="659"/>
      <c r="E857" s="660"/>
      <c r="F857" s="605"/>
      <c r="G857" s="658"/>
      <c r="H857" s="578"/>
      <c r="I857" s="605"/>
      <c r="J857" s="578"/>
    </row>
    <row r="858">
      <c r="A858" s="578"/>
      <c r="B858" s="658"/>
      <c r="C858" s="659"/>
      <c r="D858" s="659"/>
      <c r="E858" s="660"/>
      <c r="F858" s="605"/>
      <c r="G858" s="658"/>
      <c r="H858" s="578"/>
      <c r="I858" s="605"/>
      <c r="J858" s="578"/>
    </row>
    <row r="859">
      <c r="A859" s="578"/>
      <c r="B859" s="658"/>
      <c r="C859" s="659"/>
      <c r="D859" s="659"/>
      <c r="E859" s="660"/>
      <c r="F859" s="605"/>
      <c r="G859" s="658"/>
      <c r="H859" s="578"/>
      <c r="I859" s="605"/>
      <c r="J859" s="578"/>
    </row>
    <row r="860">
      <c r="A860" s="578"/>
      <c r="B860" s="658"/>
      <c r="C860" s="659"/>
      <c r="D860" s="659"/>
      <c r="E860" s="660"/>
      <c r="F860" s="605"/>
      <c r="G860" s="658"/>
      <c r="H860" s="578"/>
      <c r="I860" s="605"/>
      <c r="J860" s="578"/>
    </row>
    <row r="861">
      <c r="A861" s="578"/>
      <c r="B861" s="658"/>
      <c r="C861" s="659"/>
      <c r="D861" s="659"/>
      <c r="E861" s="660"/>
      <c r="F861" s="605"/>
      <c r="G861" s="658"/>
      <c r="H861" s="578"/>
      <c r="I861" s="605"/>
      <c r="J861" s="578"/>
    </row>
    <row r="862">
      <c r="A862" s="578"/>
      <c r="B862" s="658"/>
      <c r="C862" s="659"/>
      <c r="D862" s="659"/>
      <c r="E862" s="660"/>
      <c r="F862" s="605"/>
      <c r="G862" s="658"/>
      <c r="H862" s="578"/>
      <c r="I862" s="605"/>
      <c r="J862" s="578"/>
    </row>
    <row r="863">
      <c r="A863" s="578"/>
      <c r="B863" s="658"/>
      <c r="C863" s="659"/>
      <c r="D863" s="659"/>
      <c r="E863" s="660"/>
      <c r="F863" s="605"/>
      <c r="G863" s="658"/>
      <c r="H863" s="578"/>
      <c r="I863" s="605"/>
      <c r="J863" s="578"/>
    </row>
    <row r="864">
      <c r="A864" s="578"/>
      <c r="B864" s="658"/>
      <c r="C864" s="659"/>
      <c r="D864" s="659"/>
      <c r="E864" s="660"/>
      <c r="F864" s="605"/>
      <c r="G864" s="658"/>
      <c r="H864" s="578"/>
      <c r="I864" s="605"/>
      <c r="J864" s="578"/>
    </row>
    <row r="865">
      <c r="A865" s="578"/>
      <c r="B865" s="658"/>
      <c r="C865" s="659"/>
      <c r="D865" s="659"/>
      <c r="E865" s="660"/>
      <c r="F865" s="605"/>
      <c r="G865" s="658"/>
      <c r="H865" s="578"/>
      <c r="I865" s="605"/>
      <c r="J865" s="578"/>
    </row>
    <row r="866">
      <c r="A866" s="578"/>
      <c r="B866" s="658"/>
      <c r="C866" s="659"/>
      <c r="D866" s="659"/>
      <c r="E866" s="660"/>
      <c r="F866" s="605"/>
      <c r="G866" s="658"/>
      <c r="H866" s="578"/>
      <c r="I866" s="605"/>
      <c r="J866" s="578"/>
    </row>
    <row r="867">
      <c r="A867" s="578"/>
      <c r="B867" s="658"/>
      <c r="C867" s="659"/>
      <c r="D867" s="659"/>
      <c r="E867" s="660"/>
      <c r="F867" s="605"/>
      <c r="G867" s="658"/>
      <c r="H867" s="578"/>
      <c r="I867" s="605"/>
      <c r="J867" s="578"/>
    </row>
    <row r="868">
      <c r="A868" s="578"/>
      <c r="B868" s="658"/>
      <c r="C868" s="659"/>
      <c r="D868" s="659"/>
      <c r="E868" s="660"/>
      <c r="F868" s="605"/>
      <c r="G868" s="658"/>
      <c r="H868" s="578"/>
      <c r="I868" s="605"/>
      <c r="J868" s="578"/>
    </row>
    <row r="869">
      <c r="A869" s="578"/>
      <c r="B869" s="658"/>
      <c r="C869" s="659"/>
      <c r="D869" s="659"/>
      <c r="E869" s="660"/>
      <c r="F869" s="605"/>
      <c r="G869" s="658"/>
      <c r="H869" s="578"/>
      <c r="I869" s="605"/>
      <c r="J869" s="578"/>
    </row>
    <row r="870">
      <c r="A870" s="578"/>
      <c r="B870" s="658"/>
      <c r="C870" s="659"/>
      <c r="D870" s="659"/>
      <c r="E870" s="660"/>
      <c r="F870" s="605"/>
      <c r="G870" s="658"/>
      <c r="H870" s="578"/>
      <c r="I870" s="605"/>
      <c r="J870" s="578"/>
    </row>
    <row r="871">
      <c r="A871" s="578"/>
      <c r="B871" s="658"/>
      <c r="C871" s="659"/>
      <c r="D871" s="659"/>
      <c r="E871" s="660"/>
      <c r="F871" s="605"/>
      <c r="G871" s="658"/>
      <c r="H871" s="578"/>
      <c r="I871" s="605"/>
      <c r="J871" s="578"/>
    </row>
    <row r="872">
      <c r="A872" s="578"/>
      <c r="B872" s="658"/>
      <c r="C872" s="659"/>
      <c r="D872" s="659"/>
      <c r="E872" s="660"/>
      <c r="F872" s="605"/>
      <c r="G872" s="658"/>
      <c r="H872" s="578"/>
      <c r="I872" s="605"/>
      <c r="J872" s="578"/>
    </row>
    <row r="873">
      <c r="A873" s="578"/>
      <c r="B873" s="658"/>
      <c r="C873" s="659"/>
      <c r="D873" s="659"/>
      <c r="E873" s="660"/>
      <c r="F873" s="605"/>
      <c r="G873" s="658"/>
      <c r="H873" s="578"/>
      <c r="I873" s="605"/>
      <c r="J873" s="578"/>
    </row>
    <row r="874">
      <c r="A874" s="578"/>
      <c r="B874" s="658"/>
      <c r="C874" s="659"/>
      <c r="D874" s="659"/>
      <c r="E874" s="660"/>
      <c r="F874" s="605"/>
      <c r="G874" s="658"/>
      <c r="H874" s="578"/>
      <c r="I874" s="605"/>
      <c r="J874" s="578"/>
    </row>
    <row r="875">
      <c r="A875" s="578"/>
      <c r="B875" s="658"/>
      <c r="C875" s="659"/>
      <c r="D875" s="659"/>
      <c r="E875" s="660"/>
      <c r="F875" s="605"/>
      <c r="G875" s="658"/>
      <c r="H875" s="578"/>
      <c r="I875" s="605"/>
      <c r="J875" s="578"/>
    </row>
    <row r="876">
      <c r="A876" s="578"/>
      <c r="B876" s="658"/>
      <c r="C876" s="659"/>
      <c r="D876" s="659"/>
      <c r="E876" s="660"/>
      <c r="F876" s="605"/>
      <c r="G876" s="658"/>
      <c r="H876" s="578"/>
      <c r="I876" s="605"/>
      <c r="J876" s="578"/>
    </row>
    <row r="877">
      <c r="A877" s="578"/>
      <c r="B877" s="658"/>
      <c r="C877" s="659"/>
      <c r="D877" s="659"/>
      <c r="E877" s="660"/>
      <c r="F877" s="605"/>
      <c r="G877" s="658"/>
      <c r="H877" s="578"/>
      <c r="I877" s="605"/>
      <c r="J877" s="578"/>
    </row>
    <row r="878">
      <c r="A878" s="578"/>
      <c r="B878" s="658"/>
      <c r="C878" s="659"/>
      <c r="D878" s="659"/>
      <c r="E878" s="660"/>
      <c r="F878" s="605"/>
      <c r="G878" s="658"/>
      <c r="H878" s="578"/>
      <c r="I878" s="605"/>
      <c r="J878" s="578"/>
    </row>
    <row r="879">
      <c r="A879" s="578"/>
      <c r="B879" s="658"/>
      <c r="C879" s="659"/>
      <c r="D879" s="659"/>
      <c r="E879" s="660"/>
      <c r="F879" s="605"/>
      <c r="G879" s="658"/>
      <c r="H879" s="578"/>
      <c r="I879" s="605"/>
      <c r="J879" s="578"/>
    </row>
    <row r="880">
      <c r="A880" s="578"/>
      <c r="B880" s="658"/>
      <c r="C880" s="659"/>
      <c r="D880" s="659"/>
      <c r="E880" s="660"/>
      <c r="F880" s="605"/>
      <c r="G880" s="658"/>
      <c r="H880" s="578"/>
      <c r="I880" s="605"/>
      <c r="J880" s="578"/>
    </row>
    <row r="881">
      <c r="A881" s="578"/>
      <c r="B881" s="658"/>
      <c r="C881" s="659"/>
      <c r="D881" s="659"/>
      <c r="E881" s="660"/>
      <c r="F881" s="605"/>
      <c r="G881" s="658"/>
      <c r="H881" s="578"/>
      <c r="I881" s="605"/>
      <c r="J881" s="578"/>
    </row>
    <row r="882">
      <c r="A882" s="578"/>
      <c r="B882" s="658"/>
      <c r="C882" s="659"/>
      <c r="D882" s="659"/>
      <c r="E882" s="660"/>
      <c r="F882" s="605"/>
      <c r="G882" s="658"/>
      <c r="H882" s="578"/>
      <c r="I882" s="605"/>
      <c r="J882" s="578"/>
    </row>
    <row r="883">
      <c r="A883" s="578"/>
      <c r="B883" s="658"/>
      <c r="C883" s="659"/>
      <c r="D883" s="659"/>
      <c r="E883" s="660"/>
      <c r="F883" s="605"/>
      <c r="G883" s="658"/>
      <c r="H883" s="578"/>
      <c r="I883" s="605"/>
      <c r="J883" s="578"/>
    </row>
    <row r="884">
      <c r="A884" s="578"/>
      <c r="B884" s="658"/>
      <c r="C884" s="659"/>
      <c r="D884" s="659"/>
      <c r="E884" s="660"/>
      <c r="F884" s="605"/>
      <c r="G884" s="658"/>
      <c r="H884" s="578"/>
      <c r="I884" s="605"/>
      <c r="J884" s="578"/>
    </row>
    <row r="885">
      <c r="A885" s="578"/>
      <c r="B885" s="658"/>
      <c r="C885" s="659"/>
      <c r="D885" s="659"/>
      <c r="E885" s="660"/>
      <c r="F885" s="605"/>
      <c r="G885" s="658"/>
      <c r="H885" s="578"/>
      <c r="I885" s="605"/>
      <c r="J885" s="578"/>
    </row>
    <row r="886">
      <c r="A886" s="578"/>
      <c r="B886" s="658"/>
      <c r="C886" s="659"/>
      <c r="D886" s="659"/>
      <c r="E886" s="660"/>
      <c r="F886" s="605"/>
      <c r="G886" s="658"/>
      <c r="H886" s="578"/>
      <c r="I886" s="605"/>
      <c r="J886" s="578"/>
    </row>
    <row r="887">
      <c r="A887" s="578"/>
      <c r="B887" s="658"/>
      <c r="C887" s="659"/>
      <c r="D887" s="659"/>
      <c r="E887" s="660"/>
      <c r="F887" s="605"/>
      <c r="G887" s="658"/>
      <c r="H887" s="578"/>
      <c r="I887" s="605"/>
      <c r="J887" s="578"/>
    </row>
    <row r="888">
      <c r="A888" s="578"/>
      <c r="B888" s="658"/>
      <c r="C888" s="659"/>
      <c r="D888" s="659"/>
      <c r="E888" s="660"/>
      <c r="F888" s="605"/>
      <c r="G888" s="658"/>
      <c r="H888" s="578"/>
      <c r="I888" s="605"/>
      <c r="J888" s="578"/>
    </row>
    <row r="889">
      <c r="A889" s="578"/>
      <c r="B889" s="658"/>
      <c r="C889" s="659"/>
      <c r="D889" s="659"/>
      <c r="E889" s="660"/>
      <c r="F889" s="605"/>
      <c r="G889" s="658"/>
      <c r="H889" s="578"/>
      <c r="I889" s="605"/>
      <c r="J889" s="578"/>
    </row>
    <row r="890">
      <c r="A890" s="578"/>
      <c r="B890" s="658"/>
      <c r="C890" s="659"/>
      <c r="D890" s="659"/>
      <c r="E890" s="660"/>
      <c r="F890" s="605"/>
      <c r="G890" s="658"/>
      <c r="H890" s="578"/>
      <c r="I890" s="605"/>
      <c r="J890" s="578"/>
    </row>
    <row r="891">
      <c r="A891" s="578"/>
      <c r="B891" s="658"/>
      <c r="C891" s="659"/>
      <c r="D891" s="659"/>
      <c r="E891" s="660"/>
      <c r="F891" s="605"/>
      <c r="G891" s="658"/>
      <c r="H891" s="578"/>
      <c r="I891" s="605"/>
      <c r="J891" s="578"/>
    </row>
    <row r="892">
      <c r="A892" s="578"/>
      <c r="B892" s="658"/>
      <c r="C892" s="659"/>
      <c r="D892" s="659"/>
      <c r="E892" s="660"/>
      <c r="F892" s="605"/>
      <c r="G892" s="658"/>
      <c r="H892" s="578"/>
      <c r="I892" s="605"/>
      <c r="J892" s="578"/>
    </row>
    <row r="893">
      <c r="A893" s="578"/>
      <c r="B893" s="658"/>
      <c r="C893" s="659"/>
      <c r="D893" s="659"/>
      <c r="E893" s="660"/>
      <c r="F893" s="605"/>
      <c r="G893" s="658"/>
      <c r="H893" s="578"/>
      <c r="I893" s="605"/>
      <c r="J893" s="578"/>
    </row>
    <row r="894">
      <c r="A894" s="578"/>
      <c r="B894" s="658"/>
      <c r="C894" s="659"/>
      <c r="D894" s="659"/>
      <c r="E894" s="660"/>
      <c r="F894" s="605"/>
      <c r="G894" s="658"/>
      <c r="H894" s="578"/>
      <c r="I894" s="605"/>
      <c r="J894" s="578"/>
    </row>
    <row r="895">
      <c r="A895" s="578"/>
      <c r="B895" s="658"/>
      <c r="C895" s="659"/>
      <c r="D895" s="659"/>
      <c r="E895" s="660"/>
      <c r="F895" s="605"/>
      <c r="G895" s="658"/>
      <c r="H895" s="578"/>
      <c r="I895" s="605"/>
      <c r="J895" s="578"/>
    </row>
    <row r="896">
      <c r="A896" s="578"/>
      <c r="B896" s="658"/>
      <c r="C896" s="659"/>
      <c r="D896" s="659"/>
      <c r="E896" s="660"/>
      <c r="F896" s="605"/>
      <c r="G896" s="658"/>
      <c r="H896" s="578"/>
      <c r="I896" s="605"/>
      <c r="J896" s="578"/>
    </row>
    <row r="897">
      <c r="A897" s="578"/>
      <c r="B897" s="658"/>
      <c r="C897" s="659"/>
      <c r="D897" s="659"/>
      <c r="E897" s="660"/>
      <c r="F897" s="605"/>
      <c r="G897" s="658"/>
      <c r="H897" s="578"/>
      <c r="I897" s="605"/>
      <c r="J897" s="578"/>
    </row>
    <row r="898">
      <c r="A898" s="578"/>
      <c r="B898" s="658"/>
      <c r="C898" s="659"/>
      <c r="D898" s="659"/>
      <c r="E898" s="660"/>
      <c r="F898" s="605"/>
      <c r="G898" s="658"/>
      <c r="H898" s="578"/>
      <c r="I898" s="605"/>
      <c r="J898" s="578"/>
    </row>
    <row r="899">
      <c r="A899" s="578"/>
      <c r="B899" s="658"/>
      <c r="C899" s="659"/>
      <c r="D899" s="659"/>
      <c r="E899" s="660"/>
      <c r="F899" s="605"/>
      <c r="G899" s="658"/>
      <c r="H899" s="578"/>
      <c r="I899" s="605"/>
      <c r="J899" s="578"/>
    </row>
    <row r="900">
      <c r="A900" s="578"/>
      <c r="B900" s="658"/>
      <c r="C900" s="659"/>
      <c r="D900" s="659"/>
      <c r="E900" s="660"/>
      <c r="F900" s="605"/>
      <c r="G900" s="658"/>
      <c r="H900" s="578"/>
      <c r="I900" s="605"/>
      <c r="J900" s="578"/>
    </row>
    <row r="901">
      <c r="A901" s="578"/>
      <c r="B901" s="658"/>
      <c r="C901" s="659"/>
      <c r="D901" s="659"/>
      <c r="E901" s="660"/>
      <c r="F901" s="605"/>
      <c r="G901" s="658"/>
      <c r="H901" s="578"/>
      <c r="I901" s="605"/>
      <c r="J901" s="578"/>
    </row>
    <row r="902">
      <c r="A902" s="578"/>
      <c r="B902" s="658"/>
      <c r="C902" s="659"/>
      <c r="D902" s="659"/>
      <c r="E902" s="660"/>
      <c r="F902" s="605"/>
      <c r="G902" s="658"/>
      <c r="H902" s="578"/>
      <c r="I902" s="605"/>
      <c r="J902" s="578"/>
    </row>
    <row r="903">
      <c r="A903" s="578"/>
      <c r="B903" s="658"/>
      <c r="C903" s="659"/>
      <c r="D903" s="659"/>
      <c r="E903" s="660"/>
      <c r="F903" s="605"/>
      <c r="G903" s="658"/>
      <c r="H903" s="578"/>
      <c r="I903" s="605"/>
      <c r="J903" s="578"/>
    </row>
    <row r="904">
      <c r="A904" s="578"/>
      <c r="B904" s="658"/>
      <c r="C904" s="659"/>
      <c r="D904" s="659"/>
      <c r="E904" s="660"/>
      <c r="F904" s="605"/>
      <c r="G904" s="658"/>
      <c r="H904" s="578"/>
      <c r="I904" s="605"/>
      <c r="J904" s="578"/>
    </row>
    <row r="905">
      <c r="A905" s="578"/>
      <c r="B905" s="658"/>
      <c r="C905" s="659"/>
      <c r="D905" s="659"/>
      <c r="E905" s="660"/>
      <c r="F905" s="605"/>
      <c r="G905" s="658"/>
      <c r="H905" s="578"/>
      <c r="I905" s="605"/>
      <c r="J905" s="578"/>
    </row>
    <row r="906">
      <c r="A906" s="578"/>
      <c r="B906" s="658"/>
      <c r="C906" s="659"/>
      <c r="D906" s="659"/>
      <c r="E906" s="660"/>
      <c r="F906" s="605"/>
      <c r="G906" s="658"/>
      <c r="H906" s="578"/>
      <c r="I906" s="605"/>
      <c r="J906" s="578"/>
    </row>
    <row r="907">
      <c r="A907" s="578"/>
      <c r="B907" s="658"/>
      <c r="C907" s="659"/>
      <c r="D907" s="659"/>
      <c r="E907" s="660"/>
      <c r="F907" s="605"/>
      <c r="G907" s="658"/>
      <c r="H907" s="578"/>
      <c r="I907" s="605"/>
      <c r="J907" s="578"/>
    </row>
    <row r="908">
      <c r="A908" s="578"/>
      <c r="B908" s="658"/>
      <c r="C908" s="659"/>
      <c r="D908" s="659"/>
      <c r="E908" s="660"/>
      <c r="F908" s="605"/>
      <c r="G908" s="658"/>
      <c r="H908" s="578"/>
      <c r="I908" s="605"/>
      <c r="J908" s="578"/>
    </row>
    <row r="909">
      <c r="A909" s="578"/>
      <c r="B909" s="658"/>
      <c r="C909" s="659"/>
      <c r="D909" s="659"/>
      <c r="E909" s="660"/>
      <c r="F909" s="605"/>
      <c r="G909" s="658"/>
      <c r="H909" s="578"/>
      <c r="I909" s="605"/>
      <c r="J909" s="578"/>
    </row>
    <row r="910">
      <c r="A910" s="578"/>
      <c r="B910" s="658"/>
      <c r="C910" s="659"/>
      <c r="D910" s="659"/>
      <c r="E910" s="660"/>
      <c r="F910" s="605"/>
      <c r="G910" s="658"/>
      <c r="H910" s="578"/>
      <c r="I910" s="605"/>
      <c r="J910" s="578"/>
    </row>
    <row r="911">
      <c r="A911" s="578"/>
      <c r="B911" s="658"/>
      <c r="C911" s="659"/>
      <c r="D911" s="659"/>
      <c r="E911" s="660"/>
      <c r="F911" s="605"/>
      <c r="G911" s="658"/>
      <c r="H911" s="578"/>
      <c r="I911" s="605"/>
      <c r="J911" s="578"/>
    </row>
    <row r="912">
      <c r="A912" s="578"/>
      <c r="B912" s="658"/>
      <c r="C912" s="659"/>
      <c r="D912" s="659"/>
      <c r="E912" s="660"/>
      <c r="F912" s="605"/>
      <c r="G912" s="658"/>
      <c r="H912" s="578"/>
      <c r="I912" s="605"/>
      <c r="J912" s="578"/>
    </row>
    <row r="913">
      <c r="A913" s="578"/>
      <c r="B913" s="658"/>
      <c r="C913" s="659"/>
      <c r="D913" s="659"/>
      <c r="E913" s="660"/>
      <c r="F913" s="605"/>
      <c r="G913" s="658"/>
      <c r="H913" s="578"/>
      <c r="I913" s="605"/>
      <c r="J913" s="578"/>
    </row>
    <row r="914">
      <c r="A914" s="578"/>
      <c r="B914" s="658"/>
      <c r="C914" s="659"/>
      <c r="D914" s="659"/>
      <c r="E914" s="660"/>
      <c r="F914" s="605"/>
      <c r="G914" s="658"/>
      <c r="H914" s="578"/>
      <c r="I914" s="605"/>
      <c r="J914" s="578"/>
    </row>
    <row r="915">
      <c r="A915" s="578"/>
      <c r="B915" s="658"/>
      <c r="C915" s="659"/>
      <c r="D915" s="659"/>
      <c r="E915" s="660"/>
      <c r="F915" s="605"/>
      <c r="G915" s="658"/>
      <c r="H915" s="578"/>
      <c r="I915" s="605"/>
      <c r="J915" s="578"/>
    </row>
    <row r="916">
      <c r="A916" s="578"/>
      <c r="B916" s="658"/>
      <c r="C916" s="659"/>
      <c r="D916" s="659"/>
      <c r="E916" s="660"/>
      <c r="F916" s="605"/>
      <c r="G916" s="658"/>
      <c r="H916" s="578"/>
      <c r="I916" s="605"/>
      <c r="J916" s="578"/>
    </row>
    <row r="917">
      <c r="A917" s="578"/>
      <c r="B917" s="658"/>
      <c r="C917" s="659"/>
      <c r="D917" s="659"/>
      <c r="E917" s="660"/>
      <c r="F917" s="605"/>
      <c r="G917" s="658"/>
      <c r="H917" s="578"/>
      <c r="I917" s="605"/>
      <c r="J917" s="578"/>
    </row>
    <row r="918">
      <c r="A918" s="578"/>
      <c r="B918" s="658"/>
      <c r="C918" s="659"/>
      <c r="D918" s="659"/>
      <c r="E918" s="660"/>
      <c r="F918" s="605"/>
      <c r="G918" s="658"/>
      <c r="H918" s="578"/>
      <c r="I918" s="605"/>
      <c r="J918" s="578"/>
    </row>
    <row r="919">
      <c r="A919" s="578"/>
      <c r="B919" s="658"/>
      <c r="C919" s="659"/>
      <c r="D919" s="659"/>
      <c r="E919" s="660"/>
      <c r="F919" s="605"/>
      <c r="G919" s="658"/>
      <c r="H919" s="578"/>
      <c r="I919" s="605"/>
      <c r="J919" s="578"/>
    </row>
    <row r="920">
      <c r="A920" s="578"/>
      <c r="B920" s="658"/>
      <c r="C920" s="659"/>
      <c r="D920" s="659"/>
      <c r="E920" s="660"/>
      <c r="F920" s="605"/>
      <c r="G920" s="658"/>
      <c r="H920" s="578"/>
      <c r="I920" s="605"/>
      <c r="J920" s="578"/>
    </row>
    <row r="921">
      <c r="A921" s="578"/>
      <c r="B921" s="658"/>
      <c r="C921" s="661"/>
      <c r="D921" s="661"/>
      <c r="E921" s="660"/>
      <c r="F921" s="662"/>
      <c r="G921" s="658"/>
      <c r="H921" s="578"/>
      <c r="I921" s="662"/>
      <c r="J921" s="578"/>
    </row>
  </sheetData>
  <mergeCells count="11">
    <mergeCell ref="A35:A39"/>
    <mergeCell ref="A41:A45"/>
    <mergeCell ref="A47:A56"/>
    <mergeCell ref="A58:A61"/>
    <mergeCell ref="A1:E1"/>
    <mergeCell ref="G1:H1"/>
    <mergeCell ref="J1:J2"/>
    <mergeCell ref="A3:A7"/>
    <mergeCell ref="A9:A12"/>
    <mergeCell ref="A16:A17"/>
    <mergeCell ref="A19:A33"/>
  </mergeCells>
  <conditionalFormatting sqref="C36:D37 C39:D39 C41:D41 C47:D49 C52:D52 C59:D59">
    <cfRule type="containsText" dxfId="2" priority="1" operator="containsText" text="SO">
      <formula>NOT(ISERROR(SEARCH(("SO"),(C36))))</formula>
    </cfRule>
  </conditionalFormatting>
  <conditionalFormatting sqref="C36:D37 C39:D39 C41:D41 C47:D49 C52:D52 C59:D59">
    <cfRule type="containsText" dxfId="3" priority="2" operator="containsText" text="tegen">
      <formula>NOT(ISERROR(SEARCH(("tegen"),(C36))))</formula>
    </cfRule>
  </conditionalFormatting>
  <conditionalFormatting sqref="C36:D37 C39:D39 C41:D41 C47:D49 C52:D52 C59:D59">
    <cfRule type="containsText" dxfId="4" priority="3" operator="containsText" text="voor">
      <formula>NOT(ISERROR(SEARCH(("voor"),(C36))))</formula>
    </cfRule>
  </conditionalFormatting>
  <conditionalFormatting sqref="C36:D37 C39:D39 C41:D41 C47:D49 C52:D52 C59:D59">
    <cfRule type="cellIs" dxfId="5" priority="4" operator="equal">
      <formula>"NG"</formula>
    </cfRule>
  </conditionalFormatting>
  <conditionalFormatting sqref="C10:D10 C32:D32 C42:D43">
    <cfRule type="containsText" dxfId="0" priority="5" operator="containsText" text="voor">
      <formula>NOT(ISERROR(SEARCH(("voor"),(C10))))</formula>
    </cfRule>
  </conditionalFormatting>
  <conditionalFormatting sqref="C10:D10 C32:D32 C42:D43">
    <cfRule type="containsText" dxfId="1" priority="6" operator="containsText" text="tegen">
      <formula>NOT(ISERROR(SEARCH(("tegen"),(C10))))</formula>
    </cfRule>
  </conditionalFormatting>
  <conditionalFormatting sqref="H2:H921">
    <cfRule type="containsText" dxfId="10" priority="7" operator="containsText" text="Ja">
      <formula>NOT(ISERROR(SEARCH(("Ja"),(H2))))</formula>
    </cfRule>
  </conditionalFormatting>
  <conditionalFormatting sqref="H2:H921">
    <cfRule type="containsText" dxfId="9" priority="8" operator="containsText" text="Nee">
      <formula>NOT(ISERROR(SEARCH(("Nee"),(H2))))</formula>
    </cfRule>
  </conditionalFormatting>
  <conditionalFormatting sqref="H2:H921 C36:D37 C39:D39 C41:D41 C47:D49 C52:D52 C59:D59">
    <cfRule type="containsText" dxfId="6" priority="9" operator="containsText" text="NVT">
      <formula>NOT(ISERROR(SEARCH(("NVT"),(H2))))</formula>
    </cfRule>
  </conditionalFormatting>
  <hyperlinks>
    <hyperlink r:id="rId1" ref="E47"/>
    <hyperlink r:id="rId2" ref="E48"/>
    <hyperlink r:id="rId3" ref="E49"/>
    <hyperlink r:id="rId4" ref="E51"/>
    <hyperlink r:id="rId5" ref="E52"/>
    <hyperlink r:id="rId6" ref="E53"/>
    <hyperlink r:id="rId7" ref="E54"/>
    <hyperlink r:id="rId8" ref="E55"/>
    <hyperlink r:id="rId9" ref="E56"/>
    <hyperlink r:id="rId10" ref="E58"/>
    <hyperlink r:id="rId11" ref="E59"/>
    <hyperlink r:id="rId12" ref="E60"/>
    <hyperlink r:id="rId13" ref="E61"/>
  </hyperlinks>
  <drawing r:id="rId14"/>
</worksheet>
</file>