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ownloads\RMTK\Verkiezingen - Copy\TK 15Nov\"/>
    </mc:Choice>
  </mc:AlternateContent>
  <xr:revisionPtr revIDLastSave="0" documentId="8_{9E296E68-A2CC-45FB-9F29-484F7E7E6B9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antal stemmen per provincie" sheetId="1" r:id="rId1"/>
    <sheet name="Landelijke uitslagen" sheetId="2" r:id="rId2"/>
    <sheet name="Restzetelverdeling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3" l="1"/>
  <c r="F21" i="3" s="1"/>
  <c r="C19" i="3"/>
  <c r="L18" i="3"/>
  <c r="D18" i="3"/>
  <c r="C17" i="3"/>
  <c r="B17" i="3"/>
  <c r="D17" i="3" s="1"/>
  <c r="C16" i="3"/>
  <c r="G16" i="3" s="1"/>
  <c r="B16" i="3"/>
  <c r="D16" i="3" s="1"/>
  <c r="D15" i="3"/>
  <c r="C15" i="3"/>
  <c r="G15" i="3" s="1"/>
  <c r="B15" i="3"/>
  <c r="C14" i="3"/>
  <c r="G14" i="3" s="1"/>
  <c r="B14" i="3"/>
  <c r="D14" i="3" s="1"/>
  <c r="G13" i="3"/>
  <c r="C13" i="3"/>
  <c r="B13" i="3"/>
  <c r="D13" i="3" s="1"/>
  <c r="C12" i="3"/>
  <c r="B12" i="3"/>
  <c r="D11" i="3"/>
  <c r="C11" i="3"/>
  <c r="G11" i="3" s="1"/>
  <c r="B11" i="3"/>
  <c r="G10" i="3"/>
  <c r="D10" i="3"/>
  <c r="C10" i="3"/>
  <c r="B10" i="3"/>
  <c r="B3" i="3"/>
  <c r="B69" i="2"/>
  <c r="C69" i="2" s="1"/>
  <c r="B68" i="2"/>
  <c r="C68" i="2" s="1"/>
  <c r="B67" i="2"/>
  <c r="C67" i="2" s="1"/>
  <c r="C66" i="2"/>
  <c r="B66" i="2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C58" i="2"/>
  <c r="B58" i="2"/>
  <c r="B57" i="2"/>
  <c r="C57" i="2" s="1"/>
  <c r="B54" i="2"/>
  <c r="E54" i="2" s="1"/>
  <c r="D53" i="2"/>
  <c r="D52" i="2"/>
  <c r="D51" i="2"/>
  <c r="D50" i="2"/>
  <c r="D49" i="2"/>
  <c r="D48" i="2"/>
  <c r="D47" i="2"/>
  <c r="D46" i="2"/>
  <c r="D54" i="2" s="1"/>
  <c r="D31" i="2"/>
  <c r="F31" i="2" s="1"/>
  <c r="H31" i="2" s="1"/>
  <c r="J31" i="2" s="1"/>
  <c r="B31" i="2"/>
  <c r="F30" i="2"/>
  <c r="H30" i="2" s="1"/>
  <c r="J30" i="2" s="1"/>
  <c r="B30" i="2"/>
  <c r="D30" i="2" s="1"/>
  <c r="H29" i="2"/>
  <c r="J29" i="2" s="1"/>
  <c r="B29" i="2"/>
  <c r="D29" i="2" s="1"/>
  <c r="F29" i="2" s="1"/>
  <c r="G29" i="2" s="1"/>
  <c r="B28" i="2"/>
  <c r="D28" i="2" s="1"/>
  <c r="F28" i="2" s="1"/>
  <c r="H28" i="2" s="1"/>
  <c r="J28" i="2" s="1"/>
  <c r="D27" i="2"/>
  <c r="F27" i="2" s="1"/>
  <c r="H27" i="2" s="1"/>
  <c r="J27" i="2" s="1"/>
  <c r="C27" i="2"/>
  <c r="B27" i="2"/>
  <c r="F26" i="2"/>
  <c r="H26" i="2" s="1"/>
  <c r="J26" i="2" s="1"/>
  <c r="B26" i="2"/>
  <c r="D26" i="2" s="1"/>
  <c r="H25" i="2"/>
  <c r="J25" i="2" s="1"/>
  <c r="B25" i="2"/>
  <c r="D25" i="2" s="1"/>
  <c r="F25" i="2" s="1"/>
  <c r="F20" i="2"/>
  <c r="F21" i="2" s="1"/>
  <c r="C19" i="2"/>
  <c r="D18" i="2"/>
  <c r="C17" i="2"/>
  <c r="G17" i="2" s="1"/>
  <c r="B17" i="2"/>
  <c r="C16" i="2"/>
  <c r="G16" i="2" s="1"/>
  <c r="B16" i="2"/>
  <c r="D16" i="2" s="1"/>
  <c r="G15" i="2"/>
  <c r="C15" i="2"/>
  <c r="B15" i="2"/>
  <c r="D15" i="2" s="1"/>
  <c r="C14" i="2"/>
  <c r="G14" i="2" s="1"/>
  <c r="B14" i="2"/>
  <c r="C13" i="2"/>
  <c r="G13" i="2" s="1"/>
  <c r="B13" i="2"/>
  <c r="D13" i="2" s="1"/>
  <c r="G12" i="2"/>
  <c r="D12" i="2"/>
  <c r="K27" i="2" s="1"/>
  <c r="C12" i="2"/>
  <c r="B12" i="2"/>
  <c r="C11" i="2"/>
  <c r="B11" i="2"/>
  <c r="D11" i="2" s="1"/>
  <c r="G10" i="2"/>
  <c r="C10" i="2"/>
  <c r="D10" i="2" s="1"/>
  <c r="B10" i="2"/>
  <c r="B19" i="2" s="1"/>
  <c r="B1" i="2" s="1"/>
  <c r="C3" i="2"/>
  <c r="B3" i="2"/>
  <c r="B2" i="2"/>
  <c r="B184" i="1"/>
  <c r="C180" i="1" s="1"/>
  <c r="C182" i="1"/>
  <c r="C181" i="1"/>
  <c r="C176" i="1"/>
  <c r="B172" i="1"/>
  <c r="C171" i="1" s="1"/>
  <c r="C164" i="1"/>
  <c r="B160" i="1"/>
  <c r="C159" i="1"/>
  <c r="C158" i="1"/>
  <c r="C157" i="1"/>
  <c r="C156" i="1"/>
  <c r="C155" i="1"/>
  <c r="C154" i="1"/>
  <c r="C153" i="1"/>
  <c r="C160" i="1" s="1"/>
  <c r="C152" i="1"/>
  <c r="B148" i="1"/>
  <c r="C141" i="1" s="1"/>
  <c r="C146" i="1"/>
  <c r="C145" i="1"/>
  <c r="C144" i="1"/>
  <c r="C143" i="1"/>
  <c r="C142" i="1"/>
  <c r="C140" i="1"/>
  <c r="B136" i="1"/>
  <c r="C131" i="1" s="1"/>
  <c r="C134" i="1"/>
  <c r="C133" i="1"/>
  <c r="C132" i="1"/>
  <c r="C128" i="1"/>
  <c r="B124" i="1"/>
  <c r="C123" i="1"/>
  <c r="C122" i="1"/>
  <c r="C116" i="1"/>
  <c r="B112" i="1"/>
  <c r="C106" i="1"/>
  <c r="B100" i="1"/>
  <c r="C93" i="1" s="1"/>
  <c r="C98" i="1"/>
  <c r="C97" i="1"/>
  <c r="C96" i="1"/>
  <c r="C95" i="1"/>
  <c r="C94" i="1"/>
  <c r="C92" i="1"/>
  <c r="B88" i="1"/>
  <c r="C86" i="1"/>
  <c r="C85" i="1"/>
  <c r="C84" i="1"/>
  <c r="C80" i="1"/>
  <c r="B76" i="1"/>
  <c r="C75" i="1"/>
  <c r="C68" i="1"/>
  <c r="B64" i="1"/>
  <c r="C58" i="1" s="1"/>
  <c r="C60" i="1"/>
  <c r="B52" i="1"/>
  <c r="C45" i="1" s="1"/>
  <c r="C50" i="1"/>
  <c r="C49" i="1"/>
  <c r="C48" i="1"/>
  <c r="C47" i="1"/>
  <c r="C46" i="1"/>
  <c r="C44" i="1"/>
  <c r="B40" i="1"/>
  <c r="C39" i="1" s="1"/>
  <c r="C38" i="1"/>
  <c r="C36" i="1"/>
  <c r="C34" i="1"/>
  <c r="C32" i="1"/>
  <c r="B28" i="1"/>
  <c r="F15" i="1"/>
  <c r="B15" i="1"/>
  <c r="D15" i="1" s="1"/>
  <c r="F14" i="1"/>
  <c r="B14" i="1"/>
  <c r="F13" i="1"/>
  <c r="D13" i="1"/>
  <c r="B13" i="1"/>
  <c r="F12" i="1"/>
  <c r="B12" i="1"/>
  <c r="D12" i="1" s="1"/>
  <c r="F11" i="1"/>
  <c r="B11" i="1"/>
  <c r="D11" i="1" s="1"/>
  <c r="F10" i="1"/>
  <c r="B10" i="1"/>
  <c r="F9" i="1"/>
  <c r="D9" i="1"/>
  <c r="B9" i="1"/>
  <c r="F8" i="1"/>
  <c r="B8" i="1"/>
  <c r="D8" i="1" s="1"/>
  <c r="F7" i="1"/>
  <c r="B7" i="1"/>
  <c r="D7" i="1" s="1"/>
  <c r="F6" i="1"/>
  <c r="B6" i="1"/>
  <c r="F5" i="1"/>
  <c r="B5" i="1"/>
  <c r="D5" i="1" s="1"/>
  <c r="F4" i="1"/>
  <c r="B4" i="1"/>
  <c r="D4" i="1" s="1"/>
  <c r="F3" i="1"/>
  <c r="B3" i="1"/>
  <c r="D3" i="1" s="1"/>
  <c r="D2" i="1"/>
  <c r="F2" i="1" s="1"/>
  <c r="F16" i="1" s="1"/>
  <c r="B2" i="1"/>
  <c r="B16" i="1" s="1"/>
  <c r="G12" i="1" l="1"/>
  <c r="G8" i="1"/>
  <c r="G4" i="1"/>
  <c r="G13" i="1"/>
  <c r="G9" i="1"/>
  <c r="G5" i="1"/>
  <c r="G6" i="1"/>
  <c r="E7" i="1"/>
  <c r="G10" i="1"/>
  <c r="C14" i="1"/>
  <c r="C10" i="1"/>
  <c r="C6" i="1"/>
  <c r="C3" i="1"/>
  <c r="C7" i="1"/>
  <c r="C15" i="1"/>
  <c r="C11" i="1"/>
  <c r="D16" i="1"/>
  <c r="E11" i="1" s="1"/>
  <c r="G3" i="1"/>
  <c r="E8" i="1"/>
  <c r="E12" i="1"/>
  <c r="G15" i="1"/>
  <c r="E3" i="1"/>
  <c r="G14" i="1"/>
  <c r="E5" i="1"/>
  <c r="C9" i="1"/>
  <c r="G7" i="1"/>
  <c r="E4" i="1"/>
  <c r="G11" i="1"/>
  <c r="E9" i="1"/>
  <c r="C13" i="1"/>
  <c r="D6" i="1"/>
  <c r="E6" i="1" s="1"/>
  <c r="D14" i="1"/>
  <c r="E14" i="1" s="1"/>
  <c r="C57" i="1"/>
  <c r="B47" i="3"/>
  <c r="B50" i="3"/>
  <c r="D10" i="1"/>
  <c r="E10" i="1" s="1"/>
  <c r="C5" i="1"/>
  <c r="C73" i="1"/>
  <c r="C72" i="1"/>
  <c r="C71" i="1"/>
  <c r="C69" i="1"/>
  <c r="C111" i="1"/>
  <c r="C110" i="1"/>
  <c r="C109" i="1"/>
  <c r="C108" i="1"/>
  <c r="C107" i="1"/>
  <c r="E25" i="2"/>
  <c r="K25" i="2"/>
  <c r="C25" i="2"/>
  <c r="I25" i="2"/>
  <c r="G19" i="2"/>
  <c r="G28" i="2"/>
  <c r="E28" i="2"/>
  <c r="K28" i="2"/>
  <c r="C28" i="2"/>
  <c r="K30" i="2"/>
  <c r="C30" i="2"/>
  <c r="I30" i="2"/>
  <c r="G30" i="2"/>
  <c r="B51" i="3"/>
  <c r="C4" i="1"/>
  <c r="C12" i="1"/>
  <c r="C63" i="1"/>
  <c r="C62" i="1"/>
  <c r="C61" i="1"/>
  <c r="C59" i="1"/>
  <c r="I26" i="2"/>
  <c r="G26" i="2"/>
  <c r="B48" i="3"/>
  <c r="G17" i="3"/>
  <c r="C8" i="1"/>
  <c r="C37" i="1"/>
  <c r="C40" i="1" s="1"/>
  <c r="G11" i="2"/>
  <c r="D14" i="2"/>
  <c r="C26" i="2" s="1"/>
  <c r="G25" i="2"/>
  <c r="E30" i="2"/>
  <c r="C70" i="1"/>
  <c r="C83" i="1"/>
  <c r="C82" i="1"/>
  <c r="C81" i="1"/>
  <c r="C88" i="1" s="1"/>
  <c r="C87" i="1"/>
  <c r="C104" i="1"/>
  <c r="C121" i="1"/>
  <c r="C120" i="1"/>
  <c r="C119" i="1"/>
  <c r="C118" i="1"/>
  <c r="C117" i="1"/>
  <c r="C124" i="1" s="1"/>
  <c r="E29" i="2"/>
  <c r="K29" i="2"/>
  <c r="C29" i="2"/>
  <c r="I29" i="2"/>
  <c r="D17" i="2"/>
  <c r="I28" i="2"/>
  <c r="B19" i="3"/>
  <c r="B1" i="3" s="1"/>
  <c r="C35" i="1"/>
  <c r="C33" i="1"/>
  <c r="C56" i="1"/>
  <c r="C74" i="1"/>
  <c r="C76" i="1" s="1"/>
  <c r="C105" i="1"/>
  <c r="C170" i="1"/>
  <c r="C169" i="1"/>
  <c r="C168" i="1"/>
  <c r="C167" i="1"/>
  <c r="C166" i="1"/>
  <c r="C165" i="1"/>
  <c r="C172" i="1" s="1"/>
  <c r="I27" i="2"/>
  <c r="G27" i="2"/>
  <c r="E27" i="2"/>
  <c r="E26" i="2"/>
  <c r="G12" i="3"/>
  <c r="D12" i="3"/>
  <c r="D19" i="3" s="1"/>
  <c r="B49" i="3"/>
  <c r="A24" i="3"/>
  <c r="F24" i="3" s="1"/>
  <c r="K24" i="3" s="1"/>
  <c r="P24" i="3" s="1"/>
  <c r="U24" i="3" s="1"/>
  <c r="Z24" i="3" s="1"/>
  <c r="A42" i="3"/>
  <c r="F42" i="3" s="1"/>
  <c r="K42" i="3" s="1"/>
  <c r="P42" i="3" s="1"/>
  <c r="U42" i="3" s="1"/>
  <c r="Z42" i="3" s="1"/>
  <c r="B2" i="3"/>
  <c r="C3" i="3" s="1"/>
  <c r="B43" i="3"/>
  <c r="C135" i="1"/>
  <c r="C183" i="1"/>
  <c r="B44" i="3"/>
  <c r="C51" i="1"/>
  <c r="C52" i="1" s="1"/>
  <c r="C99" i="1"/>
  <c r="C100" i="1" s="1"/>
  <c r="C129" i="1"/>
  <c r="C136" i="1" s="1"/>
  <c r="C147" i="1"/>
  <c r="C148" i="1" s="1"/>
  <c r="C177" i="1"/>
  <c r="C184" i="1" s="1"/>
  <c r="B45" i="3"/>
  <c r="C130" i="1"/>
  <c r="C178" i="1"/>
  <c r="C179" i="1"/>
  <c r="B5" i="3" l="1"/>
  <c r="B7" i="3" s="1"/>
  <c r="B4" i="3"/>
  <c r="C64" i="1"/>
  <c r="C112" i="1"/>
  <c r="C16" i="1"/>
  <c r="G19" i="3"/>
  <c r="E13" i="1"/>
  <c r="E16" i="1" s="1"/>
  <c r="G16" i="1"/>
  <c r="K26" i="2"/>
  <c r="E15" i="1"/>
  <c r="D19" i="2"/>
  <c r="C53" i="2" s="1"/>
  <c r="B46" i="3"/>
  <c r="B28" i="3"/>
  <c r="E12" i="3"/>
  <c r="I31" i="2"/>
  <c r="G31" i="2"/>
  <c r="E31" i="2"/>
  <c r="C31" i="2"/>
  <c r="K31" i="2"/>
  <c r="C46" i="3" l="1"/>
  <c r="D46" i="3" s="1"/>
  <c r="B5" i="2"/>
  <c r="B7" i="2" s="1"/>
  <c r="B4" i="2"/>
  <c r="C49" i="2"/>
  <c r="C52" i="2"/>
  <c r="C48" i="2"/>
  <c r="C46" i="2"/>
  <c r="C47" i="2"/>
  <c r="C51" i="2"/>
  <c r="B52" i="3"/>
  <c r="C50" i="2"/>
  <c r="E10" i="3"/>
  <c r="E11" i="3"/>
  <c r="E13" i="3"/>
  <c r="E16" i="3"/>
  <c r="B31" i="3"/>
  <c r="E15" i="3"/>
  <c r="E17" i="3"/>
  <c r="B26" i="3"/>
  <c r="B29" i="3"/>
  <c r="B32" i="3"/>
  <c r="E14" i="3"/>
  <c r="B30" i="3"/>
  <c r="B33" i="3"/>
  <c r="B27" i="3"/>
  <c r="C54" i="2" l="1"/>
  <c r="B34" i="3"/>
  <c r="C28" i="3" s="1"/>
  <c r="D28" i="3" s="1"/>
  <c r="G28" i="3" s="1"/>
  <c r="C43" i="3"/>
  <c r="C44" i="3"/>
  <c r="D44" i="3" s="1"/>
  <c r="C47" i="3"/>
  <c r="D47" i="3" s="1"/>
  <c r="C51" i="3"/>
  <c r="D51" i="3" s="1"/>
  <c r="C50" i="3"/>
  <c r="D50" i="3" s="1"/>
  <c r="C49" i="3"/>
  <c r="D49" i="3" s="1"/>
  <c r="E15" i="2"/>
  <c r="E12" i="2"/>
  <c r="E10" i="2"/>
  <c r="E16" i="2"/>
  <c r="E13" i="2"/>
  <c r="E11" i="2"/>
  <c r="E17" i="2"/>
  <c r="E14" i="2"/>
  <c r="B60" i="3"/>
  <c r="G46" i="3"/>
  <c r="C45" i="3" l="1"/>
  <c r="D45" i="3" s="1"/>
  <c r="D53" i="3" s="1"/>
  <c r="D54" i="3" s="1"/>
  <c r="A57" i="3" s="1"/>
  <c r="C48" i="3"/>
  <c r="D48" i="3" s="1"/>
  <c r="D43" i="3"/>
  <c r="G43" i="3" s="1"/>
  <c r="C32" i="3"/>
  <c r="D32" i="3" s="1"/>
  <c r="G32" i="3" s="1"/>
  <c r="C31" i="3"/>
  <c r="D31" i="3" s="1"/>
  <c r="G31" i="3" s="1"/>
  <c r="C29" i="3"/>
  <c r="D29" i="3" s="1"/>
  <c r="G29" i="3" s="1"/>
  <c r="C27" i="3"/>
  <c r="D27" i="3" s="1"/>
  <c r="G27" i="3" s="1"/>
  <c r="B63" i="3"/>
  <c r="G49" i="3"/>
  <c r="C33" i="3"/>
  <c r="D33" i="3" s="1"/>
  <c r="G33" i="3" s="1"/>
  <c r="B64" i="3"/>
  <c r="G50" i="3"/>
  <c r="B65" i="3"/>
  <c r="G51" i="3"/>
  <c r="C26" i="3"/>
  <c r="D26" i="3" s="1"/>
  <c r="G26" i="3" s="1"/>
  <c r="B61" i="3"/>
  <c r="G47" i="3"/>
  <c r="C30" i="3"/>
  <c r="D30" i="3" s="1"/>
  <c r="G30" i="3" s="1"/>
  <c r="B58" i="3"/>
  <c r="G44" i="3"/>
  <c r="G34" i="3" l="1"/>
  <c r="H28" i="3" s="1"/>
  <c r="I28" i="3" s="1"/>
  <c r="G52" i="3"/>
  <c r="H46" i="3" s="1"/>
  <c r="I46" i="3" s="1"/>
  <c r="B62" i="3"/>
  <c r="G48" i="3"/>
  <c r="B59" i="3"/>
  <c r="B66" i="3" s="1"/>
  <c r="G45" i="3"/>
  <c r="G60" i="3" l="1"/>
  <c r="L46" i="3"/>
  <c r="H43" i="3"/>
  <c r="H30" i="3"/>
  <c r="I30" i="3" s="1"/>
  <c r="L30" i="3" s="1"/>
  <c r="H32" i="3"/>
  <c r="I32" i="3" s="1"/>
  <c r="L32" i="3" s="1"/>
  <c r="H44" i="3"/>
  <c r="I44" i="3" s="1"/>
  <c r="H33" i="3"/>
  <c r="I33" i="3" s="1"/>
  <c r="N28" i="3"/>
  <c r="L28" i="3"/>
  <c r="H50" i="3"/>
  <c r="I50" i="3" s="1"/>
  <c r="H51" i="3"/>
  <c r="I51" i="3" s="1"/>
  <c r="H27" i="3"/>
  <c r="I27" i="3" s="1"/>
  <c r="H31" i="3"/>
  <c r="I31" i="3" s="1"/>
  <c r="L31" i="3" s="1"/>
  <c r="H26" i="3"/>
  <c r="I26" i="3" s="1"/>
  <c r="L26" i="3" s="1"/>
  <c r="H29" i="3"/>
  <c r="I29" i="3" s="1"/>
  <c r="L29" i="3" s="1"/>
  <c r="H49" i="3"/>
  <c r="I49" i="3" s="1"/>
  <c r="H47" i="3"/>
  <c r="I47" i="3" s="1"/>
  <c r="S28" i="3" l="1"/>
  <c r="Q28" i="3"/>
  <c r="G58" i="3"/>
  <c r="L44" i="3"/>
  <c r="G65" i="3"/>
  <c r="L51" i="3"/>
  <c r="H48" i="3"/>
  <c r="I48" i="3" s="1"/>
  <c r="I43" i="3"/>
  <c r="H45" i="3"/>
  <c r="I45" i="3" s="1"/>
  <c r="I53" i="3" s="1"/>
  <c r="I54" i="3" s="1"/>
  <c r="F57" i="3" s="1"/>
  <c r="N27" i="3"/>
  <c r="L27" i="3"/>
  <c r="G64" i="3"/>
  <c r="L50" i="3"/>
  <c r="G63" i="3"/>
  <c r="L49" i="3"/>
  <c r="G61" i="3"/>
  <c r="L47" i="3"/>
  <c r="L43" i="3" l="1"/>
  <c r="L33" i="3"/>
  <c r="G59" i="3"/>
  <c r="G66" i="3" s="1"/>
  <c r="L45" i="3"/>
  <c r="X28" i="3"/>
  <c r="V28" i="3"/>
  <c r="G62" i="3"/>
  <c r="L48" i="3"/>
  <c r="S27" i="3"/>
  <c r="Q27" i="3"/>
  <c r="X27" i="3" l="1"/>
  <c r="V27" i="3"/>
  <c r="L34" i="3"/>
  <c r="L52" i="3"/>
  <c r="AC28" i="3"/>
  <c r="AA28" i="3"/>
  <c r="M46" i="3" l="1"/>
  <c r="N46" i="3" s="1"/>
  <c r="M44" i="3"/>
  <c r="N44" i="3" s="1"/>
  <c r="M49" i="3"/>
  <c r="N49" i="3" s="1"/>
  <c r="M47" i="3"/>
  <c r="N47" i="3" s="1"/>
  <c r="M51" i="3"/>
  <c r="N51" i="3" s="1"/>
  <c r="M50" i="3"/>
  <c r="N50" i="3" s="1"/>
  <c r="M43" i="3"/>
  <c r="M29" i="3"/>
  <c r="N29" i="3" s="1"/>
  <c r="Q29" i="3" s="1"/>
  <c r="M32" i="3"/>
  <c r="N32" i="3" s="1"/>
  <c r="Q32" i="3" s="1"/>
  <c r="M31" i="3"/>
  <c r="N31" i="3" s="1"/>
  <c r="Q31" i="3" s="1"/>
  <c r="M30" i="3"/>
  <c r="N30" i="3" s="1"/>
  <c r="Q30" i="3" s="1"/>
  <c r="M26" i="3"/>
  <c r="N26" i="3" s="1"/>
  <c r="Q26" i="3" s="1"/>
  <c r="M33" i="3"/>
  <c r="N33" i="3" s="1"/>
  <c r="AC27" i="3"/>
  <c r="AA27" i="3"/>
  <c r="M45" i="3" l="1"/>
  <c r="N45" i="3" s="1"/>
  <c r="M48" i="3"/>
  <c r="N48" i="3" s="1"/>
  <c r="N53" i="3" s="1"/>
  <c r="N54" i="3" s="1"/>
  <c r="K57" i="3" s="1"/>
  <c r="N43" i="3"/>
  <c r="L64" i="3"/>
  <c r="Q50" i="3"/>
  <c r="L65" i="3"/>
  <c r="Q51" i="3"/>
  <c r="L61" i="3"/>
  <c r="Q47" i="3"/>
  <c r="L63" i="3"/>
  <c r="Q49" i="3"/>
  <c r="L58" i="3"/>
  <c r="Q44" i="3"/>
  <c r="L60" i="3"/>
  <c r="Q46" i="3"/>
  <c r="Q43" i="3" l="1"/>
  <c r="Q33" i="3"/>
  <c r="L62" i="3"/>
  <c r="Q48" i="3"/>
  <c r="L59" i="3"/>
  <c r="L66" i="3" s="1"/>
  <c r="Q45" i="3"/>
  <c r="Q52" i="3" l="1"/>
  <c r="R43" i="3" s="1"/>
  <c r="Q34" i="3"/>
  <c r="R45" i="3" l="1"/>
  <c r="S45" i="3" s="1"/>
  <c r="R48" i="3"/>
  <c r="S48" i="3" s="1"/>
  <c r="S43" i="3"/>
  <c r="V43" i="3" s="1"/>
  <c r="R32" i="3"/>
  <c r="S32" i="3" s="1"/>
  <c r="V32" i="3" s="1"/>
  <c r="R30" i="3"/>
  <c r="S30" i="3" s="1"/>
  <c r="V30" i="3" s="1"/>
  <c r="R31" i="3"/>
  <c r="S31" i="3" s="1"/>
  <c r="V31" i="3" s="1"/>
  <c r="R26" i="3"/>
  <c r="S26" i="3" s="1"/>
  <c r="V26" i="3" s="1"/>
  <c r="R29" i="3"/>
  <c r="S29" i="3" s="1"/>
  <c r="V29" i="3" s="1"/>
  <c r="R33" i="3"/>
  <c r="S33" i="3" s="1"/>
  <c r="V33" i="3" s="1"/>
  <c r="R49" i="3"/>
  <c r="S49" i="3" s="1"/>
  <c r="R51" i="3"/>
  <c r="S51" i="3" s="1"/>
  <c r="R47" i="3"/>
  <c r="S47" i="3" s="1"/>
  <c r="R44" i="3"/>
  <c r="S44" i="3" s="1"/>
  <c r="R50" i="3"/>
  <c r="S50" i="3" s="1"/>
  <c r="R46" i="3"/>
  <c r="S46" i="3" s="1"/>
  <c r="V34" i="3" l="1"/>
  <c r="W29" i="3" s="1"/>
  <c r="X29" i="3" s="1"/>
  <c r="AA29" i="3" s="1"/>
  <c r="W31" i="3"/>
  <c r="X31" i="3" s="1"/>
  <c r="AA31" i="3" s="1"/>
  <c r="W30" i="3"/>
  <c r="X30" i="3" s="1"/>
  <c r="AA30" i="3" s="1"/>
  <c r="Q60" i="3"/>
  <c r="V46" i="3"/>
  <c r="Q61" i="3"/>
  <c r="V47" i="3"/>
  <c r="Q64" i="3"/>
  <c r="V50" i="3"/>
  <c r="Q65" i="3"/>
  <c r="V51" i="3"/>
  <c r="Q62" i="3"/>
  <c r="V48" i="3"/>
  <c r="Q58" i="3"/>
  <c r="S53" i="3"/>
  <c r="S54" i="3" s="1"/>
  <c r="P57" i="3" s="1"/>
  <c r="V44" i="3"/>
  <c r="Q63" i="3"/>
  <c r="V49" i="3"/>
  <c r="W33" i="3"/>
  <c r="X33" i="3" s="1"/>
  <c r="AA33" i="3" s="1"/>
  <c r="Q59" i="3"/>
  <c r="V45" i="3"/>
  <c r="W50" i="3" l="1"/>
  <c r="X50" i="3" s="1"/>
  <c r="W49" i="3"/>
  <c r="X49" i="3" s="1"/>
  <c r="W44" i="3"/>
  <c r="X44" i="3" s="1"/>
  <c r="V52" i="3"/>
  <c r="W43" i="3" s="1"/>
  <c r="Q66" i="3"/>
  <c r="W32" i="3"/>
  <c r="X32" i="3" s="1"/>
  <c r="AA32" i="3" s="1"/>
  <c r="W26" i="3"/>
  <c r="X26" i="3" s="1"/>
  <c r="AA26" i="3" s="1"/>
  <c r="W47" i="3"/>
  <c r="X47" i="3" s="1"/>
  <c r="V58" i="3" l="1"/>
  <c r="AA44" i="3"/>
  <c r="V61" i="3"/>
  <c r="AA47" i="3"/>
  <c r="V63" i="3"/>
  <c r="AA49" i="3"/>
  <c r="AB32" i="3"/>
  <c r="AC32" i="3" s="1"/>
  <c r="W46" i="3"/>
  <c r="X46" i="3" s="1"/>
  <c r="AA34" i="3"/>
  <c r="W51" i="3"/>
  <c r="X51" i="3" s="1"/>
  <c r="V64" i="3"/>
  <c r="AA50" i="3"/>
  <c r="W48" i="3"/>
  <c r="X48" i="3" s="1"/>
  <c r="X43" i="3"/>
  <c r="AA43" i="3" s="1"/>
  <c r="W45" i="3"/>
  <c r="X45" i="3" s="1"/>
  <c r="V62" i="3" l="1"/>
  <c r="AA48" i="3"/>
  <c r="AB29" i="3"/>
  <c r="AC29" i="3" s="1"/>
  <c r="AB30" i="3"/>
  <c r="AC30" i="3" s="1"/>
  <c r="AB31" i="3"/>
  <c r="AC31" i="3" s="1"/>
  <c r="AB33" i="3"/>
  <c r="AC33" i="3" s="1"/>
  <c r="V59" i="3"/>
  <c r="AA45" i="3"/>
  <c r="AA52" i="3" s="1"/>
  <c r="V65" i="3"/>
  <c r="V66" i="3" s="1"/>
  <c r="AA51" i="3"/>
  <c r="AB26" i="3"/>
  <c r="AC26" i="3" s="1"/>
  <c r="X53" i="3"/>
  <c r="X54" i="3" s="1"/>
  <c r="U57" i="3" s="1"/>
  <c r="V60" i="3"/>
  <c r="AA46" i="3"/>
  <c r="AB50" i="3" l="1"/>
  <c r="AC50" i="3" s="1"/>
  <c r="AA64" i="3" s="1"/>
  <c r="AB49" i="3"/>
  <c r="AC49" i="3" s="1"/>
  <c r="AA63" i="3" s="1"/>
  <c r="AB47" i="3"/>
  <c r="AC47" i="3" s="1"/>
  <c r="AA61" i="3" s="1"/>
  <c r="AB44" i="3"/>
  <c r="AC44" i="3" s="1"/>
  <c r="AB43" i="3"/>
  <c r="AB46" i="3"/>
  <c r="AC46" i="3" s="1"/>
  <c r="AA60" i="3" s="1"/>
  <c r="AB51" i="3"/>
  <c r="AC51" i="3" s="1"/>
  <c r="AA65" i="3" s="1"/>
  <c r="AB45" i="3" l="1"/>
  <c r="AC45" i="3" s="1"/>
  <c r="AA59" i="3" s="1"/>
  <c r="AB48" i="3"/>
  <c r="AC48" i="3" s="1"/>
  <c r="AA62" i="3" s="1"/>
  <c r="AC43" i="3"/>
  <c r="AA58" i="3"/>
  <c r="AC53" i="3" l="1"/>
  <c r="AC54" i="3" s="1"/>
  <c r="Z57" i="3" s="1"/>
  <c r="AA66" i="3"/>
</calcChain>
</file>

<file path=xl/sharedStrings.xml><?xml version="1.0" encoding="utf-8"?>
<sst xmlns="http://schemas.openxmlformats.org/spreadsheetml/2006/main" count="550" uniqueCount="89">
  <si>
    <t>Provincie/gebied</t>
  </si>
  <si>
    <t>Totaal aantal stemmen</t>
  </si>
  <si>
    <t>% van het landelijk aantal stemmen</t>
  </si>
  <si>
    <t>Waarvan geldig</t>
  </si>
  <si>
    <t>% van het landelijk aantal geldige stemmen</t>
  </si>
  <si>
    <t xml:space="preserve">Totaal aantal ongeldige stemmen </t>
  </si>
  <si>
    <t>% van het landelijk aantal ongeldige stemmen</t>
  </si>
  <si>
    <t>BES-eilanden (Caribisch Nederland)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</si>
  <si>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</si>
  <si>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</si>
  <si>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</si>
  <si>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</si>
  <si>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</si>
  <si>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</si>
  <si>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</si>
  <si>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</si>
  <si>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</si>
  <si>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</si>
  <si>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</si>
  <si>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</si>
  <si>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Ik stem vanuit het buitenland</t>
  </si>
  <si>
    <t>Totaal</t>
  </si>
  <si>
    <t xml:space="preserve">BES-eilanden </t>
  </si>
  <si>
    <t>Partij</t>
  </si>
  <si>
    <t>% van het totaal aantal stemmen</t>
  </si>
  <si>
    <t>Totaal aantal ongeldige stemmen</t>
  </si>
  <si>
    <t>VVD</t>
  </si>
  <si>
    <t>PPvdA</t>
  </si>
  <si>
    <t>PVV</t>
  </si>
  <si>
    <t>CDA</t>
  </si>
  <si>
    <t>MPN</t>
  </si>
  <si>
    <t>D66</t>
  </si>
  <si>
    <t>GL</t>
  </si>
  <si>
    <t>PP</t>
  </si>
  <si>
    <t>Ambassade</t>
  </si>
  <si>
    <t>Waarvan ongeldig</t>
  </si>
  <si>
    <t>Genoteerde ongeldige stemmen</t>
  </si>
  <si>
    <t>Totaal aantal geldige stemmen</t>
  </si>
  <si>
    <t>Waarvan voor kiesdeler</t>
  </si>
  <si>
    <t>Aantal te verdelen zetels</t>
  </si>
  <si>
    <t>Kiesdeler</t>
  </si>
  <si>
    <t xml:space="preserve">Partij </t>
  </si>
  <si>
    <t>Stemmen per partij</t>
  </si>
  <si>
    <t>Uiteindelijk aantal stemmen</t>
  </si>
  <si>
    <t>Stemmen gedeeld door kiesdeler</t>
  </si>
  <si>
    <t>Totaal aantal hele zetels</t>
  </si>
  <si>
    <t>% ongeldig</t>
  </si>
  <si>
    <t>Blanco</t>
  </si>
  <si>
    <t>Totaal aantal zetels</t>
  </si>
  <si>
    <t>Aantal restzetels</t>
  </si>
  <si>
    <t>Totaal aantal hele zetels +1</t>
  </si>
  <si>
    <t>Restzetels 5</t>
  </si>
  <si>
    <t>Restzetels 4</t>
  </si>
  <si>
    <t>Restzetels 3</t>
  </si>
  <si>
    <t>Restzetels 2</t>
  </si>
  <si>
    <t>Restzetels 1</t>
  </si>
  <si>
    <t>PPvdA+MPN</t>
  </si>
  <si>
    <t xml:space="preserve">Controle (per 15-11-2015 23:59) </t>
  </si>
  <si>
    <t>http://icon.cat/util/elections/iWjhGbNUUh</t>
  </si>
  <si>
    <t>Klopt</t>
  </si>
  <si>
    <t>Zetels</t>
  </si>
  <si>
    <t>% van de geldige stemmen</t>
  </si>
  <si>
    <t>% van de zetels</t>
  </si>
  <si>
    <t>Lijstverbinding</t>
  </si>
  <si>
    <t>PPvdA + MPN</t>
  </si>
  <si>
    <t>Coalities</t>
  </si>
  <si>
    <t>Meerderheid</t>
  </si>
  <si>
    <t>Links (MPN+GL+PPvdA)</t>
  </si>
  <si>
    <t>Breedlinks (MPN+GL+PPvdA+PP)</t>
  </si>
  <si>
    <t>Centrum (GL+PPvdA+D66)</t>
  </si>
  <si>
    <t>Progressief (GL+PPvdA+D66)</t>
  </si>
  <si>
    <t>Progressief Plus (GL+PPvdA+D66+PP)</t>
  </si>
  <si>
    <t>Kunduz (GL+D66+VVD+CDA)</t>
  </si>
  <si>
    <t>Paars (PPvdA+VVD+D66)</t>
  </si>
  <si>
    <t>Paars Plus (PPvdA+D66+VVD+GL)</t>
  </si>
  <si>
    <t>Paars met de Bijbel (PPvdA+VVD+D66+CDA)</t>
  </si>
  <si>
    <t>Gematigd rechts (D66+VVD+CDA)</t>
  </si>
  <si>
    <t>Rechts (D66+VVD+PVV)</t>
  </si>
  <si>
    <t>Breedrechts (D66+VVD+CDA+PVV)</t>
  </si>
  <si>
    <t>Conservatief rechts (CDA+PVV+VVD)</t>
  </si>
  <si>
    <t>RESTZETELS D.M.V. GROOTSTE OVERSCHOT</t>
  </si>
  <si>
    <t>Restzetels</t>
  </si>
  <si>
    <t>Reststemmen</t>
  </si>
  <si>
    <t>Restzetel voor</t>
  </si>
  <si>
    <t>Rekenwerk.</t>
  </si>
  <si>
    <t>Hoogste aantal.</t>
  </si>
  <si>
    <t>RESTZETELS D.M.V. GEMIDDELDE</t>
  </si>
  <si>
    <t>Gemiddelde stemmen</t>
  </si>
  <si>
    <t>Verdeelde zetels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</si>
</sst>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FFFF"/>
      <name val="Arial"/>
    </font>
    <font>
      <b/>
      <sz val="10"/>
      <color rgb="FFFF0000"/>
      <name val="Arial"/>
    </font>
    <font>
      <sz val="11"/>
      <color rgb="FF000000"/>
      <name val="Inconsolata"/>
    </font>
    <font>
      <u/>
      <sz val="10"/>
      <color rgb="FF0000FF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4D8F"/>
        <bgColor rgb="FF004D8F"/>
      </patternFill>
    </fill>
    <fill>
      <patternFill patternType="solid">
        <fgColor rgb="FFE2001A"/>
        <bgColor rgb="FFE2001A"/>
      </patternFill>
    </fill>
    <fill>
      <patternFill patternType="solid">
        <fgColor rgb="FF85817D"/>
        <bgColor rgb="FF85817D"/>
      </patternFill>
    </fill>
    <fill>
      <patternFill patternType="solid">
        <fgColor rgb="FF006B6E"/>
        <bgColor rgb="FF006B6E"/>
      </patternFill>
    </fill>
    <fill>
      <patternFill patternType="solid">
        <fgColor rgb="FFFF0000"/>
        <bgColor rgb="FFFF0000"/>
      </patternFill>
    </fill>
    <fill>
      <patternFill patternType="solid">
        <fgColor rgb="FF01AF40"/>
        <bgColor rgb="FF01AF40"/>
      </patternFill>
    </fill>
    <fill>
      <patternFill patternType="solid">
        <fgColor rgb="FF8FD91F"/>
        <bgColor rgb="FF8FD91F"/>
      </patternFill>
    </fill>
    <fill>
      <patternFill patternType="solid">
        <fgColor rgb="FF643794"/>
        <bgColor rgb="FF64379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5200C"/>
        <bgColor rgb="FF85200C"/>
      </patternFill>
    </fill>
    <fill>
      <patternFill patternType="solid">
        <fgColor rgb="FF990000"/>
        <bgColor rgb="FF99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2" fillId="0" borderId="0" xfId="0" applyNumberFormat="1" applyFont="1" applyAlignment="1"/>
    <xf numFmtId="10" fontId="2" fillId="0" borderId="0" xfId="0" applyNumberFormat="1" applyFont="1"/>
    <xf numFmtId="0" fontId="1" fillId="0" borderId="0" xfId="0" applyFont="1"/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9" fontId="2" fillId="0" borderId="0" xfId="0" applyNumberFormat="1" applyFont="1" applyAlignment="1"/>
    <xf numFmtId="0" fontId="4" fillId="0" borderId="0" xfId="0" applyFont="1" applyAlignment="1">
      <alignment horizontal="center"/>
    </xf>
    <xf numFmtId="0" fontId="2" fillId="8" borderId="0" xfId="0" applyFont="1" applyFill="1" applyAlignment="1"/>
    <xf numFmtId="0" fontId="2" fillId="8" borderId="0" xfId="0" applyFont="1" applyFill="1"/>
    <xf numFmtId="0" fontId="5" fillId="10" borderId="0" xfId="0" applyFont="1" applyFill="1"/>
    <xf numFmtId="0" fontId="5" fillId="8" borderId="0" xfId="0" applyFont="1" applyFill="1"/>
    <xf numFmtId="0" fontId="6" fillId="0" borderId="0" xfId="0" applyFont="1" applyAlignment="1"/>
    <xf numFmtId="0" fontId="3" fillId="0" borderId="0" xfId="0" applyFont="1" applyAlignment="1"/>
    <xf numFmtId="0" fontId="7" fillId="11" borderId="0" xfId="0" applyFont="1" applyFill="1" applyAlignment="1"/>
    <xf numFmtId="0" fontId="8" fillId="11" borderId="0" xfId="0" applyFont="1" applyFill="1" applyAlignment="1"/>
    <xf numFmtId="0" fontId="2" fillId="0" borderId="0" xfId="0" applyFont="1" applyAlignment="1">
      <alignment horizontal="center"/>
    </xf>
    <xf numFmtId="0" fontId="9" fillId="11" borderId="0" xfId="0" applyFont="1" applyFill="1" applyAlignment="1"/>
    <xf numFmtId="0" fontId="2" fillId="0" borderId="0" xfId="0" applyFont="1" applyAlignment="1">
      <alignment horizontal="center"/>
    </xf>
    <xf numFmtId="0" fontId="3" fillId="11" borderId="0" xfId="0" applyFont="1" applyFill="1" applyAlignment="1"/>
    <xf numFmtId="0" fontId="10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0" fontId="2" fillId="10" borderId="0" xfId="0" applyFont="1" applyFill="1"/>
    <xf numFmtId="0" fontId="3" fillId="10" borderId="0" xfId="0" applyFont="1" applyFill="1" applyAlignment="1"/>
    <xf numFmtId="0" fontId="2" fillId="10" borderId="0" xfId="0" applyFont="1" applyFill="1" applyAlignment="1"/>
    <xf numFmtId="0" fontId="11" fillId="0" borderId="0" xfId="0" applyFont="1"/>
    <xf numFmtId="0" fontId="12" fillId="0" borderId="0" xfId="0" applyFont="1" applyAlignment="1"/>
    <xf numFmtId="0" fontId="2" fillId="12" borderId="0" xfId="0" applyFont="1" applyFill="1"/>
    <xf numFmtId="0" fontId="13" fillId="12" borderId="0" xfId="0" applyFont="1" applyFill="1" applyAlignment="1"/>
    <xf numFmtId="0" fontId="2" fillId="13" borderId="0" xfId="0" applyFont="1" applyFill="1"/>
    <xf numFmtId="0" fontId="10" fillId="0" borderId="0" xfId="0" applyFont="1" applyAlignment="1"/>
    <xf numFmtId="0" fontId="11" fillId="10" borderId="0" xfId="0" applyFont="1" applyFill="1" applyAlignment="1"/>
    <xf numFmtId="0" fontId="2" fillId="0" borderId="0" xfId="0" applyFont="1"/>
  </cellXfs>
  <cellStyles count="1">
    <cellStyle name="Normal" xfId="0" builtinId="0"/>
  </cellStyles>
  <dxfs count="7">
    <dxf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con.cat/util/elections/iWjhGbNU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4"/>
  <sheetViews>
    <sheetView topLeftCell="A169" workbookViewId="0">
      <selection activeCell="B22" sqref="B22"/>
    </sheetView>
  </sheetViews>
  <sheetFormatPr defaultColWidth="14.44140625" defaultRowHeight="15.75" customHeight="1"/>
  <cols>
    <col min="1" max="1" width="30.5546875" customWidth="1"/>
    <col min="2" max="2" width="21" customWidth="1"/>
    <col min="3" max="3" width="32.44140625" customWidth="1"/>
    <col min="4" max="4" width="28.109375" customWidth="1"/>
    <col min="5" max="5" width="41.88671875" customWidth="1"/>
    <col min="6" max="6" width="28.6640625" customWidth="1"/>
    <col min="7" max="7" width="39.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2" t="s">
        <v>7</v>
      </c>
      <c r="B2" s="2">
        <f>B28</f>
        <v>0</v>
      </c>
      <c r="C2" s="3">
        <v>0</v>
      </c>
      <c r="D2" s="2">
        <f>B28-D28</f>
        <v>0</v>
      </c>
      <c r="E2" s="3">
        <v>0</v>
      </c>
      <c r="F2">
        <f>B2-D2</f>
        <v>0</v>
      </c>
      <c r="G2" s="3">
        <v>0</v>
      </c>
    </row>
    <row r="3" spans="1:7" ht="15.75" customHeight="1">
      <c r="A3" s="2" t="s">
        <v>8</v>
      </c>
      <c r="B3" s="2">
        <f ca="1">B40</f>
        <v>9</v>
      </c>
      <c r="C3" s="3">
        <f ca="1">B3/B16</f>
        <v>3.1690140845070422E-2</v>
      </c>
      <c r="D3" s="2">
        <f t="shared" ref="D3:D16" ca="1" si="0">B3-F3</f>
        <v>8</v>
      </c>
      <c r="E3" s="4">
        <f ca="1">D3/D16</f>
        <v>3.3613445378151259E-2</v>
      </c>
      <c r="F3" s="2">
        <f ca="1">IFERROR(__xludf.DUMMYFUNCTION("importRange(""https://docs.google.com/spreadsheets/d/1-ILtASPuGeesucImDBMpKTO9hI3xNb9k967XeTE18eI/edit?usp=sharing"",""H12"")"),1)</f>
        <v>1</v>
      </c>
      <c r="G3" s="4">
        <f ca="1">F3/F16</f>
        <v>2.1739130434782608E-2</v>
      </c>
    </row>
    <row r="4" spans="1:7" ht="15.75" customHeight="1">
      <c r="A4" s="2" t="s">
        <v>9</v>
      </c>
      <c r="B4" s="2">
        <f ca="1">B52</f>
        <v>7</v>
      </c>
      <c r="C4" s="3">
        <f ca="1">B4/B16</f>
        <v>2.464788732394366E-2</v>
      </c>
      <c r="D4" s="2">
        <f t="shared" ca="1" si="0"/>
        <v>6</v>
      </c>
      <c r="E4" s="4">
        <f ca="1">D4/D16</f>
        <v>2.5210084033613446E-2</v>
      </c>
      <c r="F4" s="2">
        <f ca="1">IFERROR(__xludf.DUMMYFUNCTION("importRange(""https://docs.google.com/spreadsheets/d/1-ILtASPuGeesucImDBMpKTO9hI3xNb9k967XeTE18eI/edit?usp=sharing"",""H13"")"),1)</f>
        <v>1</v>
      </c>
      <c r="G4" s="4">
        <f ca="1">F4/F16</f>
        <v>2.1739130434782608E-2</v>
      </c>
    </row>
    <row r="5" spans="1:7" ht="15.75" customHeight="1">
      <c r="A5" s="2" t="s">
        <v>10</v>
      </c>
      <c r="B5" s="2">
        <f ca="1">B64</f>
        <v>12</v>
      </c>
      <c r="C5" s="3">
        <f ca="1">B5/B16</f>
        <v>4.2253521126760563E-2</v>
      </c>
      <c r="D5" s="2">
        <f t="shared" ca="1" si="0"/>
        <v>11</v>
      </c>
      <c r="E5" s="4">
        <f ca="1">D5/D16</f>
        <v>4.6218487394957986E-2</v>
      </c>
      <c r="F5" s="2">
        <f ca="1">IFERROR(__xludf.DUMMYFUNCTION("importRange(""https://docs.google.com/spreadsheets/d/1-ILtASPuGeesucImDBMpKTO9hI3xNb9k967XeTE18eI/edit?usp=sharing"",""H14"")"),1)</f>
        <v>1</v>
      </c>
      <c r="G5" s="4">
        <f ca="1">F5/F16</f>
        <v>2.1739130434782608E-2</v>
      </c>
    </row>
    <row r="6" spans="1:7" ht="15.75" customHeight="1">
      <c r="A6" s="2" t="s">
        <v>11</v>
      </c>
      <c r="B6" s="2">
        <f ca="1">B76</f>
        <v>34</v>
      </c>
      <c r="C6" s="3">
        <f ca="1">B6/B16</f>
        <v>0.11971830985915492</v>
      </c>
      <c r="D6" s="2">
        <f t="shared" ca="1" si="0"/>
        <v>28</v>
      </c>
      <c r="E6" s="4">
        <f ca="1">D6/D16</f>
        <v>0.11764705882352941</v>
      </c>
      <c r="F6" s="2">
        <f ca="1">IFERROR(__xludf.DUMMYFUNCTION("importRange(""https://docs.google.com/spreadsheets/d/1-ILtASPuGeesucImDBMpKTO9hI3xNb9k967XeTE18eI/edit?usp=sharing"",""H15"")"),6)</f>
        <v>6</v>
      </c>
      <c r="G6" s="4">
        <f ca="1">F6/F16</f>
        <v>0.13043478260869565</v>
      </c>
    </row>
    <row r="7" spans="1:7" ht="15.75" customHeight="1">
      <c r="A7" s="2" t="s">
        <v>12</v>
      </c>
      <c r="B7" s="2">
        <f ca="1">B88</f>
        <v>21</v>
      </c>
      <c r="C7" s="3">
        <f ca="1">B7/B16</f>
        <v>7.3943661971830985E-2</v>
      </c>
      <c r="D7" s="2">
        <f t="shared" ca="1" si="0"/>
        <v>20</v>
      </c>
      <c r="E7" s="4">
        <f ca="1">D7/D16</f>
        <v>8.4033613445378158E-2</v>
      </c>
      <c r="F7" s="2">
        <f ca="1">IFERROR(__xludf.DUMMYFUNCTION("importRange(""https://docs.google.com/spreadsheets/d/1-ILtASPuGeesucImDBMpKTO9hI3xNb9k967XeTE18eI/edit?usp=sharing"",""H16"")"),1)</f>
        <v>1</v>
      </c>
      <c r="G7" s="4">
        <f ca="1">F7/F16</f>
        <v>2.1739130434782608E-2</v>
      </c>
    </row>
    <row r="8" spans="1:7" ht="15.75" customHeight="1">
      <c r="A8" s="2" t="s">
        <v>13</v>
      </c>
      <c r="B8" s="2">
        <f ca="1">B100</f>
        <v>11</v>
      </c>
      <c r="C8" s="3">
        <f ca="1">B8/B16</f>
        <v>3.873239436619718E-2</v>
      </c>
      <c r="D8" s="2">
        <f t="shared" ca="1" si="0"/>
        <v>9</v>
      </c>
      <c r="E8" s="4">
        <f ca="1">D8/D16</f>
        <v>3.7815126050420166E-2</v>
      </c>
      <c r="F8" s="2">
        <f ca="1">IFERROR(__xludf.DUMMYFUNCTION("importRange(""https://docs.google.com/spreadsheets/d/1-ILtASPuGeesucImDBMpKTO9hI3xNb9k967XeTE18eI/edit?usp=sharing"",""H17"")"),2)</f>
        <v>2</v>
      </c>
      <c r="G8" s="4">
        <f ca="1">F8/F16</f>
        <v>4.3478260869565216E-2</v>
      </c>
    </row>
    <row r="9" spans="1:7" ht="15.75" customHeight="1">
      <c r="A9" s="2" t="s">
        <v>14</v>
      </c>
      <c r="B9" s="2">
        <f ca="1">B112</f>
        <v>28</v>
      </c>
      <c r="C9" s="4">
        <f ca="1">B9/B16</f>
        <v>9.8591549295774641E-2</v>
      </c>
      <c r="D9" s="2">
        <f t="shared" ca="1" si="0"/>
        <v>23</v>
      </c>
      <c r="E9" s="4">
        <f ca="1">D9/D16</f>
        <v>9.6638655462184878E-2</v>
      </c>
      <c r="F9" s="2">
        <f ca="1">IFERROR(__xludf.DUMMYFUNCTION("importRange(""https://docs.google.com/spreadsheets/d/1-ILtASPuGeesucImDBMpKTO9hI3xNb9k967XeTE18eI/edit?usp=sharing"",""H18"")"),5)</f>
        <v>5</v>
      </c>
      <c r="G9" s="4">
        <f ca="1">F9/F16</f>
        <v>0.10869565217391304</v>
      </c>
    </row>
    <row r="10" spans="1:7" ht="15.75" customHeight="1">
      <c r="A10" s="2" t="s">
        <v>15</v>
      </c>
      <c r="B10" s="2">
        <f ca="1">B124</f>
        <v>43</v>
      </c>
      <c r="C10" s="4">
        <f ca="1">B10/B16</f>
        <v>0.15140845070422534</v>
      </c>
      <c r="D10" s="2">
        <f t="shared" ca="1" si="0"/>
        <v>39</v>
      </c>
      <c r="E10" s="4">
        <f ca="1">D10/D16</f>
        <v>0.1638655462184874</v>
      </c>
      <c r="F10" s="2">
        <f ca="1">IFERROR(__xludf.DUMMYFUNCTION("importRange(""https://docs.google.com/spreadsheets/d/1-ILtASPuGeesucImDBMpKTO9hI3xNb9k967XeTE18eI/edit?usp=sharing"",""H19"")"),4)</f>
        <v>4</v>
      </c>
      <c r="G10" s="4">
        <f ca="1">F10/F16</f>
        <v>8.6956521739130432E-2</v>
      </c>
    </row>
    <row r="11" spans="1:7" ht="15.75" customHeight="1">
      <c r="A11" s="2" t="s">
        <v>16</v>
      </c>
      <c r="B11" s="2">
        <f ca="1">B136</f>
        <v>24</v>
      </c>
      <c r="C11" s="4">
        <f ca="1">B11/B16</f>
        <v>8.4507042253521125E-2</v>
      </c>
      <c r="D11" s="2">
        <f t="shared" ca="1" si="0"/>
        <v>17</v>
      </c>
      <c r="E11" s="4">
        <f ca="1">D11/D16</f>
        <v>7.1428571428571425E-2</v>
      </c>
      <c r="F11" s="2">
        <f ca="1">IFERROR(__xludf.DUMMYFUNCTION("importRange(""https://docs.google.com/spreadsheets/d/1-ILtASPuGeesucImDBMpKTO9hI3xNb9k967XeTE18eI/edit?usp=sharing"",""H20"")"),7)</f>
        <v>7</v>
      </c>
      <c r="G11" s="4">
        <f ca="1">F11/F16</f>
        <v>0.15217391304347827</v>
      </c>
    </row>
    <row r="12" spans="1:7" ht="15.75" customHeight="1">
      <c r="A12" s="2" t="s">
        <v>17</v>
      </c>
      <c r="B12" s="2">
        <f ca="1">B148</f>
        <v>21</v>
      </c>
      <c r="C12" s="4">
        <f ca="1">B12/B16</f>
        <v>7.3943661971830985E-2</v>
      </c>
      <c r="D12" s="2">
        <f t="shared" ca="1" si="0"/>
        <v>19</v>
      </c>
      <c r="E12" s="4">
        <f ca="1">D12/D16</f>
        <v>7.9831932773109238E-2</v>
      </c>
      <c r="F12" s="2">
        <f ca="1">IFERROR(__xludf.DUMMYFUNCTION("importRange(""https://docs.google.com/spreadsheets/d/1-ILtASPuGeesucImDBMpKTO9hI3xNb9k967XeTE18eI/edit?usp=sharing"",""H21"")"),2)</f>
        <v>2</v>
      </c>
      <c r="G12" s="4">
        <f ca="1">F12/F16</f>
        <v>4.3478260869565216E-2</v>
      </c>
    </row>
    <row r="13" spans="1:7" ht="15.75" customHeight="1">
      <c r="A13" s="2" t="s">
        <v>18</v>
      </c>
      <c r="B13" s="2">
        <f ca="1">B160</f>
        <v>5</v>
      </c>
      <c r="C13" s="4">
        <f ca="1">B13/B16</f>
        <v>1.7605633802816902E-2</v>
      </c>
      <c r="D13" s="2">
        <f t="shared" ca="1" si="0"/>
        <v>3</v>
      </c>
      <c r="E13" s="4">
        <f ca="1">D13/D16</f>
        <v>1.2605042016806723E-2</v>
      </c>
      <c r="F13" s="2">
        <f ca="1">IFERROR(__xludf.DUMMYFUNCTION("importRange(""https://docs.google.com/spreadsheets/d/1-ILtASPuGeesucImDBMpKTO9hI3xNb9k967XeTE18eI/edit?usp=sharing"",""H22"")"),2)</f>
        <v>2</v>
      </c>
      <c r="G13" s="4">
        <f ca="1">F13/F16</f>
        <v>4.3478260869565216E-2</v>
      </c>
    </row>
    <row r="14" spans="1:7" ht="15.75" customHeight="1">
      <c r="A14" s="2" t="s">
        <v>19</v>
      </c>
      <c r="B14" s="2">
        <f ca="1">B172</f>
        <v>53</v>
      </c>
      <c r="C14" s="4">
        <f ca="1">B14/B16</f>
        <v>0.18661971830985916</v>
      </c>
      <c r="D14" s="2">
        <f t="shared" ca="1" si="0"/>
        <v>41</v>
      </c>
      <c r="E14" s="4">
        <f ca="1">D14/D16</f>
        <v>0.17226890756302521</v>
      </c>
      <c r="F14" s="2">
        <f ca="1">IFERROR(__xludf.DUMMYFUNCTION("importRange(""https://docs.google.com/spreadsheets/d/1-ILtASPuGeesucImDBMpKTO9hI3xNb9k967XeTE18eI/edit?usp=sharing"",""H23"")"),12)</f>
        <v>12</v>
      </c>
      <c r="G14" s="4">
        <f ca="1">F14/F16</f>
        <v>0.2608695652173913</v>
      </c>
    </row>
    <row r="15" spans="1:7" ht="15.75" customHeight="1">
      <c r="A15" s="2" t="s">
        <v>20</v>
      </c>
      <c r="B15" s="2">
        <f ca="1">B184</f>
        <v>16</v>
      </c>
      <c r="C15" s="4">
        <f ca="1">B15/B16</f>
        <v>5.6338028169014086E-2</v>
      </c>
      <c r="D15" s="2">
        <f t="shared" ca="1" si="0"/>
        <v>14</v>
      </c>
      <c r="E15" s="4">
        <f ca="1">D15/D16</f>
        <v>5.8823529411764705E-2</v>
      </c>
      <c r="F15" s="2">
        <f ca="1">IFERROR(__xludf.DUMMYFUNCTION("importRange(""https://docs.google.com/spreadsheets/d/1-ILtASPuGeesucImDBMpKTO9hI3xNb9k967XeTE18eI/edit?usp=sharing"",""H24"")"),2)</f>
        <v>2</v>
      </c>
      <c r="G15" s="4">
        <f ca="1">F15/F16</f>
        <v>4.3478260869565216E-2</v>
      </c>
    </row>
    <row r="16" spans="1:7" ht="15.75" customHeight="1">
      <c r="A16" s="2" t="s">
        <v>21</v>
      </c>
      <c r="B16">
        <f t="shared" ref="B16:C16" ca="1" si="1">SUM(B2:B15)</f>
        <v>284</v>
      </c>
      <c r="C16" s="4">
        <f t="shared" ca="1" si="1"/>
        <v>1</v>
      </c>
      <c r="D16" s="2">
        <f t="shared" ca="1" si="0"/>
        <v>238</v>
      </c>
      <c r="E16" s="4">
        <f t="shared" ref="E16:G16" ca="1" si="2">SUM(E2:E15)</f>
        <v>1</v>
      </c>
      <c r="F16">
        <f t="shared" ca="1" si="2"/>
        <v>46</v>
      </c>
      <c r="G16" s="4">
        <f t="shared" ca="1" si="2"/>
        <v>0.99999999999999978</v>
      </c>
    </row>
    <row r="18" spans="1:5" ht="15.75" customHeight="1">
      <c r="A18" s="1" t="s">
        <v>22</v>
      </c>
      <c r="B18" s="5"/>
      <c r="C18" s="5"/>
      <c r="D18" s="5"/>
      <c r="E18" s="5"/>
    </row>
    <row r="19" spans="1:5" ht="15.75" customHeight="1">
      <c r="A19" s="1" t="s">
        <v>23</v>
      </c>
      <c r="B19" s="1" t="s">
        <v>1</v>
      </c>
      <c r="C19" s="1" t="s">
        <v>24</v>
      </c>
      <c r="D19" s="1" t="s">
        <v>25</v>
      </c>
      <c r="E19" s="1"/>
    </row>
    <row r="20" spans="1:5" ht="15.75" customHeight="1">
      <c r="A20" s="6" t="s">
        <v>26</v>
      </c>
      <c r="B20" s="2">
        <v>0</v>
      </c>
      <c r="C20" s="3">
        <v>0</v>
      </c>
      <c r="D20" s="2">
        <v>0</v>
      </c>
      <c r="E20" s="3"/>
    </row>
    <row r="21" spans="1:5" ht="15.75" customHeight="1">
      <c r="A21" s="7" t="s">
        <v>27</v>
      </c>
      <c r="B21" s="2">
        <v>0</v>
      </c>
      <c r="C21" s="3">
        <v>0</v>
      </c>
      <c r="D21" s="2">
        <v>0</v>
      </c>
      <c r="E21" s="3"/>
    </row>
    <row r="22" spans="1:5" ht="15.75" customHeight="1">
      <c r="A22" s="8" t="s">
        <v>28</v>
      </c>
      <c r="B22" s="2">
        <v>0</v>
      </c>
      <c r="C22" s="3">
        <v>0</v>
      </c>
      <c r="D22" s="2">
        <v>0</v>
      </c>
      <c r="E22" s="3"/>
    </row>
    <row r="23" spans="1:5" ht="15.75" customHeight="1">
      <c r="A23" s="9" t="s">
        <v>29</v>
      </c>
      <c r="B23" s="2">
        <v>0</v>
      </c>
      <c r="C23" s="3">
        <v>0</v>
      </c>
      <c r="D23" s="2">
        <v>0</v>
      </c>
      <c r="E23" s="3"/>
    </row>
    <row r="24" spans="1:5" ht="15.75" customHeight="1">
      <c r="A24" s="10" t="s">
        <v>30</v>
      </c>
      <c r="B24" s="2">
        <v>0</v>
      </c>
      <c r="C24" s="3">
        <v>0</v>
      </c>
      <c r="D24" s="2">
        <v>0</v>
      </c>
      <c r="E24" s="3"/>
    </row>
    <row r="25" spans="1:5" ht="15.75" customHeight="1">
      <c r="A25" s="11" t="s">
        <v>31</v>
      </c>
      <c r="B25" s="2">
        <v>0</v>
      </c>
      <c r="C25" s="3">
        <v>0</v>
      </c>
      <c r="D25" s="2">
        <v>0</v>
      </c>
      <c r="E25" s="3"/>
    </row>
    <row r="26" spans="1:5" ht="15.75" customHeight="1">
      <c r="A26" s="12" t="s">
        <v>32</v>
      </c>
      <c r="B26" s="2">
        <v>0</v>
      </c>
      <c r="C26" s="3">
        <v>0</v>
      </c>
      <c r="D26" s="2">
        <v>0</v>
      </c>
      <c r="E26" s="3"/>
    </row>
    <row r="27" spans="1:5" ht="15.75" customHeight="1">
      <c r="A27" s="13" t="s">
        <v>33</v>
      </c>
      <c r="B27" s="2">
        <v>0</v>
      </c>
      <c r="C27" s="3">
        <v>0</v>
      </c>
      <c r="D27" s="2">
        <v>0</v>
      </c>
      <c r="E27" s="3"/>
    </row>
    <row r="28" spans="1:5" ht="13.2">
      <c r="A28" s="1" t="s">
        <v>21</v>
      </c>
      <c r="B28">
        <f>SUM(B20:B27)</f>
        <v>0</v>
      </c>
      <c r="C28" s="3">
        <v>0</v>
      </c>
      <c r="D28" s="2">
        <v>0</v>
      </c>
      <c r="E28" s="14"/>
    </row>
    <row r="30" spans="1:5" ht="13.2">
      <c r="A30" s="1" t="s">
        <v>8</v>
      </c>
      <c r="B30" s="5"/>
      <c r="C30" s="5"/>
      <c r="D30" s="5"/>
      <c r="E30" s="5"/>
    </row>
    <row r="31" spans="1:5" ht="13.2">
      <c r="A31" s="1" t="s">
        <v>23</v>
      </c>
      <c r="B31" s="1" t="s">
        <v>1</v>
      </c>
      <c r="C31" s="1" t="s">
        <v>24</v>
      </c>
      <c r="D31" s="1" t="s">
        <v>25</v>
      </c>
      <c r="E31" s="1"/>
    </row>
    <row r="32" spans="1:5" ht="13.2">
      <c r="A32" s="6" t="s">
        <v>26</v>
      </c>
      <c r="B32" s="2">
        <v>1</v>
      </c>
      <c r="C32" s="4">
        <f ca="1">B32/B40</f>
        <v>0.1111111111111111</v>
      </c>
      <c r="D32" s="2">
        <v>0</v>
      </c>
      <c r="E32" s="4"/>
    </row>
    <row r="33" spans="1:5" ht="13.2">
      <c r="A33" s="7" t="s">
        <v>27</v>
      </c>
      <c r="B33" s="2">
        <v>0</v>
      </c>
      <c r="C33" s="4">
        <f ca="1">B33/B40</f>
        <v>0</v>
      </c>
      <c r="D33" s="2">
        <v>0</v>
      </c>
      <c r="E33" s="4"/>
    </row>
    <row r="34" spans="1:5" ht="13.2">
      <c r="A34" s="8" t="s">
        <v>28</v>
      </c>
      <c r="B34" s="2">
        <v>1</v>
      </c>
      <c r="C34" s="4">
        <f ca="1">B34/B40</f>
        <v>0.1111111111111111</v>
      </c>
      <c r="D34" s="2">
        <v>0</v>
      </c>
      <c r="E34" s="4"/>
    </row>
    <row r="35" spans="1:5" ht="13.2">
      <c r="A35" s="9" t="s">
        <v>29</v>
      </c>
      <c r="B35" s="2">
        <v>1</v>
      </c>
      <c r="C35" s="4">
        <f ca="1">B35/B40</f>
        <v>0.1111111111111111</v>
      </c>
      <c r="D35" s="2">
        <v>0</v>
      </c>
      <c r="E35" s="4"/>
    </row>
    <row r="36" spans="1:5" ht="13.2">
      <c r="A36" s="10" t="s">
        <v>30</v>
      </c>
      <c r="B36" s="2">
        <v>1</v>
      </c>
      <c r="C36" s="4">
        <f ca="1">B36/B40</f>
        <v>0.1111111111111111</v>
      </c>
      <c r="D36" s="2">
        <v>0</v>
      </c>
      <c r="E36" s="4"/>
    </row>
    <row r="37" spans="1:5" ht="13.2">
      <c r="A37" s="11" t="s">
        <v>31</v>
      </c>
      <c r="B37" s="2">
        <v>5</v>
      </c>
      <c r="C37" s="4">
        <f ca="1">B37/B40</f>
        <v>0.55555555555555558</v>
      </c>
      <c r="D37" s="2">
        <v>0</v>
      </c>
      <c r="E37" s="4"/>
    </row>
    <row r="38" spans="1:5" ht="13.2">
      <c r="A38" s="12" t="s">
        <v>32</v>
      </c>
      <c r="B38" s="2">
        <v>0</v>
      </c>
      <c r="C38" s="4">
        <f ca="1">B38/B40</f>
        <v>0</v>
      </c>
      <c r="D38" s="2">
        <v>0</v>
      </c>
      <c r="E38" s="4"/>
    </row>
    <row r="39" spans="1:5" ht="13.2">
      <c r="A39" s="13" t="s">
        <v>33</v>
      </c>
      <c r="B39" s="2">
        <v>0</v>
      </c>
      <c r="C39" s="4">
        <f ca="1">B39/B40</f>
        <v>0</v>
      </c>
      <c r="D39" s="2">
        <v>0</v>
      </c>
      <c r="E39" s="4"/>
    </row>
    <row r="40" spans="1:5" ht="13.2">
      <c r="A40" s="1" t="s">
        <v>21</v>
      </c>
      <c r="B40">
        <f ca="1">IFERROR(__xludf.DUMMYFUNCTION("importRange(""https://docs.google.com/spreadsheets/d/1wJ_EGfyF3MOdLcWZ42XWyb1msf-wcMLcijflHOsFOuM/edit?usp=sharing"",""E8"")"),9)</f>
        <v>9</v>
      </c>
      <c r="C40" s="4">
        <f ca="1">SUM(C32:C39)</f>
        <v>1</v>
      </c>
      <c r="D40" s="2">
        <v>1</v>
      </c>
    </row>
    <row r="42" spans="1:5" ht="13.2">
      <c r="A42" s="1" t="s">
        <v>9</v>
      </c>
      <c r="B42" s="5"/>
      <c r="C42" s="5"/>
      <c r="D42" s="5"/>
      <c r="E42" s="5"/>
    </row>
    <row r="43" spans="1:5" ht="13.2">
      <c r="A43" s="1" t="s">
        <v>23</v>
      </c>
      <c r="B43" s="1" t="s">
        <v>1</v>
      </c>
      <c r="C43" s="1" t="s">
        <v>24</v>
      </c>
      <c r="D43" s="1" t="s">
        <v>25</v>
      </c>
      <c r="E43" s="1"/>
    </row>
    <row r="44" spans="1:5" ht="13.2">
      <c r="A44" s="6" t="s">
        <v>26</v>
      </c>
      <c r="B44" s="2">
        <v>1</v>
      </c>
      <c r="C44" s="4">
        <f ca="1">B44/B52</f>
        <v>0.14285714285714285</v>
      </c>
      <c r="D44" s="2">
        <v>0</v>
      </c>
      <c r="E44" s="4"/>
    </row>
    <row r="45" spans="1:5" ht="13.2">
      <c r="A45" s="7" t="s">
        <v>27</v>
      </c>
      <c r="B45" s="2">
        <v>0</v>
      </c>
      <c r="C45" s="4">
        <f ca="1">B45/B52</f>
        <v>0</v>
      </c>
      <c r="D45" s="2">
        <v>0</v>
      </c>
      <c r="E45" s="4"/>
    </row>
    <row r="46" spans="1:5" ht="13.2">
      <c r="A46" s="8" t="s">
        <v>28</v>
      </c>
      <c r="B46" s="2">
        <v>3</v>
      </c>
      <c r="C46" s="4">
        <f ca="1">B46/B52</f>
        <v>0.42857142857142855</v>
      </c>
      <c r="D46" s="2">
        <v>0</v>
      </c>
      <c r="E46" s="4"/>
    </row>
    <row r="47" spans="1:5" ht="13.2">
      <c r="A47" s="9" t="s">
        <v>29</v>
      </c>
      <c r="B47" s="2">
        <v>0</v>
      </c>
      <c r="C47" s="4">
        <f ca="1">B47/B52</f>
        <v>0</v>
      </c>
      <c r="D47" s="2">
        <v>0</v>
      </c>
      <c r="E47" s="4"/>
    </row>
    <row r="48" spans="1:5" ht="13.2">
      <c r="A48" s="10" t="s">
        <v>30</v>
      </c>
      <c r="B48" s="2">
        <v>0</v>
      </c>
      <c r="C48" s="4">
        <f ca="1">B48/B52</f>
        <v>0</v>
      </c>
      <c r="D48" s="2">
        <v>0</v>
      </c>
      <c r="E48" s="4"/>
    </row>
    <row r="49" spans="1:5" ht="13.2">
      <c r="A49" s="11" t="s">
        <v>31</v>
      </c>
      <c r="B49" s="2">
        <v>1</v>
      </c>
      <c r="C49" s="4">
        <f ca="1">B49/B52</f>
        <v>0.14285714285714285</v>
      </c>
      <c r="D49" s="2">
        <v>0</v>
      </c>
      <c r="E49" s="4"/>
    </row>
    <row r="50" spans="1:5" ht="13.2">
      <c r="A50" s="12" t="s">
        <v>32</v>
      </c>
      <c r="B50" s="2">
        <v>0</v>
      </c>
      <c r="C50" s="4">
        <f ca="1">B50/B52</f>
        <v>0</v>
      </c>
      <c r="D50" s="2">
        <v>0</v>
      </c>
      <c r="E50" s="4"/>
    </row>
    <row r="51" spans="1:5" ht="13.2">
      <c r="A51" s="13" t="s">
        <v>33</v>
      </c>
      <c r="B51" s="2">
        <v>2</v>
      </c>
      <c r="C51" s="4">
        <f ca="1">B51/B52</f>
        <v>0.2857142857142857</v>
      </c>
      <c r="D51" s="2">
        <v>0</v>
      </c>
      <c r="E51" s="4"/>
    </row>
    <row r="52" spans="1:5" ht="13.2">
      <c r="A52" s="1" t="s">
        <v>21</v>
      </c>
      <c r="B52" s="2">
        <f ca="1">IFERROR(__xludf.DUMMYFUNCTION("importRange(""https://docs.google.com/spreadsheets/d/1wJ_EGfyF3MOdLcWZ42XWyb1msf-wcMLcijflHOsFOuM/edit?usp=sharing"",""E12"")"),7)</f>
        <v>7</v>
      </c>
      <c r="C52" s="4">
        <f ca="1">SUM(C44:C51)</f>
        <v>0.99999999999999989</v>
      </c>
      <c r="D52" s="2">
        <v>1</v>
      </c>
    </row>
    <row r="54" spans="1:5" ht="13.2">
      <c r="A54" s="1" t="s">
        <v>10</v>
      </c>
      <c r="B54" s="5"/>
      <c r="C54" s="5"/>
      <c r="D54" s="5"/>
      <c r="E54" s="5"/>
    </row>
    <row r="55" spans="1:5" ht="13.2">
      <c r="A55" s="1" t="s">
        <v>23</v>
      </c>
      <c r="B55" s="1" t="s">
        <v>1</v>
      </c>
      <c r="C55" s="1" t="s">
        <v>24</v>
      </c>
      <c r="D55" s="1" t="s">
        <v>25</v>
      </c>
      <c r="E55" s="1"/>
    </row>
    <row r="56" spans="1:5" ht="13.2">
      <c r="A56" s="6" t="s">
        <v>26</v>
      </c>
      <c r="B56" s="2">
        <v>1</v>
      </c>
      <c r="C56" s="4">
        <f ca="1">B56/B64</f>
        <v>8.3333333333333329E-2</v>
      </c>
      <c r="D56" s="2">
        <v>0</v>
      </c>
      <c r="E56" s="4"/>
    </row>
    <row r="57" spans="1:5" ht="13.2">
      <c r="A57" s="7" t="s">
        <v>27</v>
      </c>
      <c r="B57" s="2">
        <v>0</v>
      </c>
      <c r="C57" s="4">
        <f ca="1">B57/B64</f>
        <v>0</v>
      </c>
      <c r="D57" s="2">
        <v>0</v>
      </c>
      <c r="E57" s="4"/>
    </row>
    <row r="58" spans="1:5" ht="13.2">
      <c r="A58" s="8" t="s">
        <v>28</v>
      </c>
      <c r="B58" s="2">
        <v>2</v>
      </c>
      <c r="C58" s="4">
        <f ca="1">B58/B64</f>
        <v>0.16666666666666666</v>
      </c>
      <c r="D58" s="2">
        <v>0</v>
      </c>
      <c r="E58" s="4"/>
    </row>
    <row r="59" spans="1:5" ht="13.2">
      <c r="A59" s="9" t="s">
        <v>29</v>
      </c>
      <c r="B59" s="2">
        <v>2</v>
      </c>
      <c r="C59" s="4">
        <f ca="1">B59/B64</f>
        <v>0.16666666666666666</v>
      </c>
      <c r="D59" s="2">
        <v>0</v>
      </c>
      <c r="E59" s="4"/>
    </row>
    <row r="60" spans="1:5" ht="13.2">
      <c r="A60" s="10" t="s">
        <v>30</v>
      </c>
      <c r="B60" s="2">
        <v>0</v>
      </c>
      <c r="C60" s="4">
        <f ca="1">B60/B64</f>
        <v>0</v>
      </c>
      <c r="D60" s="2">
        <v>0</v>
      </c>
      <c r="E60" s="4"/>
    </row>
    <row r="61" spans="1:5" ht="13.2">
      <c r="A61" s="11" t="s">
        <v>31</v>
      </c>
      <c r="B61" s="2">
        <v>4</v>
      </c>
      <c r="C61" s="4">
        <f ca="1">B61/B64</f>
        <v>0.33333333333333331</v>
      </c>
      <c r="D61" s="2">
        <v>0</v>
      </c>
      <c r="E61" s="4"/>
    </row>
    <row r="62" spans="1:5" ht="13.2">
      <c r="A62" s="12" t="s">
        <v>32</v>
      </c>
      <c r="B62" s="2">
        <v>3</v>
      </c>
      <c r="C62" s="4">
        <f ca="1">B62/B64</f>
        <v>0.25</v>
      </c>
      <c r="D62" s="2">
        <v>0</v>
      </c>
      <c r="E62" s="4"/>
    </row>
    <row r="63" spans="1:5" ht="13.2">
      <c r="A63" s="13" t="s">
        <v>33</v>
      </c>
      <c r="B63" s="2">
        <v>0</v>
      </c>
      <c r="C63" s="4">
        <f ca="1">B63/B64</f>
        <v>0</v>
      </c>
      <c r="D63" s="2">
        <v>0</v>
      </c>
      <c r="E63" s="4"/>
    </row>
    <row r="64" spans="1:5" ht="13.2">
      <c r="A64" s="1" t="s">
        <v>21</v>
      </c>
      <c r="B64">
        <f ca="1">IFERROR(__xludf.DUMMYFUNCTION("importRange(""https://docs.google.com/spreadsheets/d/1wJ_EGfyF3MOdLcWZ42XWyb1msf-wcMLcijflHOsFOuM/edit?usp=sharing"",""E9"")"),12)</f>
        <v>12</v>
      </c>
      <c r="C64" s="4">
        <f ca="1">SUM(C56:C63)</f>
        <v>1</v>
      </c>
      <c r="D64" s="2">
        <v>1</v>
      </c>
    </row>
    <row r="66" spans="1:5" ht="13.2">
      <c r="A66" s="1" t="s">
        <v>11</v>
      </c>
      <c r="B66" s="5"/>
      <c r="C66" s="5"/>
      <c r="D66" s="5"/>
      <c r="E66" s="5"/>
    </row>
    <row r="67" spans="1:5" ht="13.2">
      <c r="A67" s="1" t="s">
        <v>23</v>
      </c>
      <c r="B67" s="1" t="s">
        <v>1</v>
      </c>
      <c r="C67" s="1" t="s">
        <v>24</v>
      </c>
      <c r="D67" s="1" t="s">
        <v>25</v>
      </c>
      <c r="E67" s="1"/>
    </row>
    <row r="68" spans="1:5" ht="13.2">
      <c r="A68" s="6" t="s">
        <v>26</v>
      </c>
      <c r="B68" s="2">
        <v>2</v>
      </c>
      <c r="C68" s="4">
        <f ca="1">B68/B76</f>
        <v>5.8823529411764705E-2</v>
      </c>
      <c r="D68" s="2">
        <v>0</v>
      </c>
      <c r="E68" s="4"/>
    </row>
    <row r="69" spans="1:5" ht="13.2">
      <c r="A69" s="7" t="s">
        <v>27</v>
      </c>
      <c r="B69" s="2">
        <v>2</v>
      </c>
      <c r="C69" s="4">
        <f ca="1">B69/B76</f>
        <v>5.8823529411764705E-2</v>
      </c>
      <c r="D69" s="2">
        <v>0</v>
      </c>
      <c r="E69" s="4"/>
    </row>
    <row r="70" spans="1:5" ht="13.2">
      <c r="A70" s="8" t="s">
        <v>28</v>
      </c>
      <c r="B70" s="2">
        <v>7</v>
      </c>
      <c r="C70" s="4">
        <f ca="1">B70/B76</f>
        <v>0.20588235294117646</v>
      </c>
      <c r="D70" s="2">
        <v>0</v>
      </c>
      <c r="E70" s="4"/>
    </row>
    <row r="71" spans="1:5" ht="13.2">
      <c r="A71" s="9" t="s">
        <v>29</v>
      </c>
      <c r="B71" s="2">
        <v>0</v>
      </c>
      <c r="C71" s="4">
        <f ca="1">B71/B76</f>
        <v>0</v>
      </c>
      <c r="D71" s="2">
        <v>0</v>
      </c>
      <c r="E71" s="4"/>
    </row>
    <row r="72" spans="1:5" ht="13.2">
      <c r="A72" s="10" t="s">
        <v>30</v>
      </c>
      <c r="B72" s="2">
        <v>4</v>
      </c>
      <c r="C72" s="4">
        <f ca="1">B72/B76</f>
        <v>0.11764705882352941</v>
      </c>
      <c r="D72" s="2">
        <v>0</v>
      </c>
      <c r="E72" s="4"/>
    </row>
    <row r="73" spans="1:5" ht="13.2">
      <c r="A73" s="11" t="s">
        <v>31</v>
      </c>
      <c r="B73" s="2">
        <v>9</v>
      </c>
      <c r="C73" s="4">
        <f ca="1">B73/B76</f>
        <v>0.26470588235294118</v>
      </c>
      <c r="D73" s="2">
        <v>0</v>
      </c>
      <c r="E73" s="4"/>
    </row>
    <row r="74" spans="1:5" ht="13.2">
      <c r="A74" s="12" t="s">
        <v>32</v>
      </c>
      <c r="B74" s="2">
        <v>10</v>
      </c>
      <c r="C74" s="4">
        <f ca="1">B74/B76</f>
        <v>0.29411764705882354</v>
      </c>
      <c r="D74" s="2">
        <v>0</v>
      </c>
      <c r="E74" s="4"/>
    </row>
    <row r="75" spans="1:5" ht="13.2">
      <c r="A75" s="13" t="s">
        <v>33</v>
      </c>
      <c r="B75" s="2">
        <v>0</v>
      </c>
      <c r="C75" s="4">
        <f ca="1">B75/B76</f>
        <v>0</v>
      </c>
      <c r="D75" s="2">
        <v>0</v>
      </c>
      <c r="E75" s="4"/>
    </row>
    <row r="76" spans="1:5" ht="13.2">
      <c r="A76" s="1" t="s">
        <v>21</v>
      </c>
      <c r="B76">
        <f ca="1">IFERROR(__xludf.DUMMYFUNCTION("importRange(""https://docs.google.com/spreadsheets/d/1wJ_EGfyF3MOdLcWZ42XWyb1msf-wcMLcijflHOsFOuM/edit?usp=sharing"",""E6"")"),34)</f>
        <v>34</v>
      </c>
      <c r="C76" s="4">
        <f ca="1">SUM(C68:C75)</f>
        <v>1</v>
      </c>
      <c r="D76" s="2">
        <v>6</v>
      </c>
    </row>
    <row r="78" spans="1:5" ht="13.2">
      <c r="A78" s="1" t="s">
        <v>12</v>
      </c>
      <c r="B78" s="5"/>
      <c r="C78" s="5"/>
      <c r="D78" s="5"/>
      <c r="E78" s="5"/>
    </row>
    <row r="79" spans="1:5" ht="13.2">
      <c r="A79" s="1" t="s">
        <v>23</v>
      </c>
      <c r="B79" s="1" t="s">
        <v>1</v>
      </c>
      <c r="C79" s="1" t="s">
        <v>24</v>
      </c>
      <c r="D79" s="1" t="s">
        <v>25</v>
      </c>
      <c r="E79" s="1"/>
    </row>
    <row r="80" spans="1:5" ht="13.2">
      <c r="A80" s="6" t="s">
        <v>26</v>
      </c>
      <c r="B80" s="2">
        <v>2</v>
      </c>
      <c r="C80" s="4">
        <f ca="1">B80/B88</f>
        <v>9.5238095238095233E-2</v>
      </c>
      <c r="D80" s="2">
        <v>0</v>
      </c>
      <c r="E80" s="4"/>
    </row>
    <row r="81" spans="1:5" ht="13.2">
      <c r="A81" s="7" t="s">
        <v>27</v>
      </c>
      <c r="B81" s="2">
        <v>0</v>
      </c>
      <c r="C81" s="4">
        <f ca="1">B81/B88</f>
        <v>0</v>
      </c>
      <c r="D81" s="2">
        <v>0</v>
      </c>
      <c r="E81" s="4"/>
    </row>
    <row r="82" spans="1:5" ht="13.2">
      <c r="A82" s="8" t="s">
        <v>28</v>
      </c>
      <c r="B82" s="2">
        <v>3</v>
      </c>
      <c r="C82" s="4">
        <f ca="1">B82/B88</f>
        <v>0.14285714285714285</v>
      </c>
      <c r="D82" s="2">
        <v>0</v>
      </c>
      <c r="E82" s="4"/>
    </row>
    <row r="83" spans="1:5" ht="13.2">
      <c r="A83" s="9" t="s">
        <v>29</v>
      </c>
      <c r="B83" s="2">
        <v>1</v>
      </c>
      <c r="C83" s="4">
        <f ca="1">B83/B88</f>
        <v>4.7619047619047616E-2</v>
      </c>
      <c r="D83" s="2">
        <v>0</v>
      </c>
      <c r="E83" s="4"/>
    </row>
    <row r="84" spans="1:5" ht="13.2">
      <c r="A84" s="10" t="s">
        <v>30</v>
      </c>
      <c r="B84" s="2">
        <v>1</v>
      </c>
      <c r="C84" s="4">
        <f ca="1">B84/B88</f>
        <v>4.7619047619047616E-2</v>
      </c>
      <c r="D84" s="2">
        <v>0</v>
      </c>
      <c r="E84" s="4"/>
    </row>
    <row r="85" spans="1:5" ht="13.2">
      <c r="A85" s="11" t="s">
        <v>31</v>
      </c>
      <c r="B85" s="2">
        <v>5</v>
      </c>
      <c r="C85" s="4">
        <f ca="1">B85/B88</f>
        <v>0.23809523809523808</v>
      </c>
      <c r="D85" s="2">
        <v>0</v>
      </c>
      <c r="E85" s="4"/>
    </row>
    <row r="86" spans="1:5" ht="13.2">
      <c r="A86" s="12" t="s">
        <v>32</v>
      </c>
      <c r="B86" s="2">
        <v>7</v>
      </c>
      <c r="C86" s="4">
        <f ca="1">B86/B88</f>
        <v>0.33333333333333331</v>
      </c>
      <c r="D86" s="2">
        <v>0</v>
      </c>
      <c r="E86" s="4"/>
    </row>
    <row r="87" spans="1:5" ht="13.2">
      <c r="A87" s="13" t="s">
        <v>33</v>
      </c>
      <c r="B87" s="2">
        <v>2</v>
      </c>
      <c r="C87" s="4">
        <f ca="1">B87/B88</f>
        <v>9.5238095238095233E-2</v>
      </c>
      <c r="D87" s="2">
        <v>0</v>
      </c>
      <c r="E87" s="4"/>
    </row>
    <row r="88" spans="1:5" ht="13.2">
      <c r="A88" s="1" t="s">
        <v>21</v>
      </c>
      <c r="B88">
        <f ca="1">IFERROR(__xludf.DUMMYFUNCTION("importRange(""https://docs.google.com/spreadsheets/d/1wJ_EGfyF3MOdLcWZ42XWyb1msf-wcMLcijflHOsFOuM/edit?usp=sharing"",""E7"")"),21)</f>
        <v>21</v>
      </c>
      <c r="C88" s="4">
        <f ca="1">SUM(C80:C87)</f>
        <v>0.99999999999999989</v>
      </c>
      <c r="D88" s="2">
        <v>1</v>
      </c>
    </row>
    <row r="90" spans="1:5" ht="13.2">
      <c r="A90" s="1" t="s">
        <v>13</v>
      </c>
      <c r="B90" s="5"/>
      <c r="C90" s="5"/>
      <c r="D90" s="5"/>
      <c r="E90" s="5"/>
    </row>
    <row r="91" spans="1:5" ht="13.2">
      <c r="A91" s="1" t="s">
        <v>23</v>
      </c>
      <c r="B91" s="1" t="s">
        <v>1</v>
      </c>
      <c r="C91" s="1" t="s">
        <v>24</v>
      </c>
      <c r="D91" s="1" t="s">
        <v>25</v>
      </c>
      <c r="E91" s="1"/>
    </row>
    <row r="92" spans="1:5" ht="13.2">
      <c r="A92" s="6" t="s">
        <v>26</v>
      </c>
      <c r="B92" s="2">
        <v>3</v>
      </c>
      <c r="C92" s="4">
        <f ca="1">B92/B100</f>
        <v>0.27272727272727271</v>
      </c>
      <c r="D92" s="2">
        <v>0</v>
      </c>
      <c r="E92" s="4"/>
    </row>
    <row r="93" spans="1:5" ht="13.2">
      <c r="A93" s="7" t="s">
        <v>27</v>
      </c>
      <c r="B93" s="2">
        <v>0</v>
      </c>
      <c r="C93" s="4">
        <f ca="1">B93/B100</f>
        <v>0</v>
      </c>
      <c r="D93" s="2">
        <v>0</v>
      </c>
      <c r="E93" s="4"/>
    </row>
    <row r="94" spans="1:5" ht="13.2">
      <c r="A94" s="8" t="s">
        <v>28</v>
      </c>
      <c r="B94" s="2">
        <v>2</v>
      </c>
      <c r="C94" s="4">
        <f ca="1">B94/B100</f>
        <v>0.18181818181818182</v>
      </c>
      <c r="D94" s="2">
        <v>0</v>
      </c>
      <c r="E94" s="4"/>
    </row>
    <row r="95" spans="1:5" ht="13.2">
      <c r="A95" s="9" t="s">
        <v>29</v>
      </c>
      <c r="B95" s="2">
        <v>1</v>
      </c>
      <c r="C95" s="4">
        <f ca="1">B95/B100</f>
        <v>9.0909090909090912E-2</v>
      </c>
      <c r="D95" s="2">
        <v>0</v>
      </c>
      <c r="E95" s="4"/>
    </row>
    <row r="96" spans="1:5" ht="13.2">
      <c r="A96" s="10" t="s">
        <v>30</v>
      </c>
      <c r="B96" s="2">
        <v>0</v>
      </c>
      <c r="C96" s="4">
        <f ca="1">B96/B100</f>
        <v>0</v>
      </c>
      <c r="D96" s="2">
        <v>0</v>
      </c>
      <c r="E96" s="4"/>
    </row>
    <row r="97" spans="1:5" ht="13.2">
      <c r="A97" s="11" t="s">
        <v>31</v>
      </c>
      <c r="B97" s="2">
        <v>3</v>
      </c>
      <c r="C97" s="4">
        <f ca="1">B97/B100</f>
        <v>0.27272727272727271</v>
      </c>
      <c r="D97" s="2">
        <v>0</v>
      </c>
      <c r="E97" s="4"/>
    </row>
    <row r="98" spans="1:5" ht="13.2">
      <c r="A98" s="12" t="s">
        <v>32</v>
      </c>
      <c r="B98" s="2">
        <v>2</v>
      </c>
      <c r="C98" s="4">
        <f ca="1">B98/B100</f>
        <v>0.18181818181818182</v>
      </c>
      <c r="D98" s="2">
        <v>0</v>
      </c>
      <c r="E98" s="4"/>
    </row>
    <row r="99" spans="1:5" ht="13.2">
      <c r="A99" s="13" t="s">
        <v>33</v>
      </c>
      <c r="B99" s="2">
        <v>0</v>
      </c>
      <c r="C99" s="4">
        <f ca="1">B99/B100</f>
        <v>0</v>
      </c>
      <c r="D99" s="2">
        <v>0</v>
      </c>
      <c r="E99" s="4"/>
    </row>
    <row r="100" spans="1:5" ht="13.2">
      <c r="A100" s="1" t="s">
        <v>21</v>
      </c>
      <c r="B100">
        <f ca="1">IFERROR(__xludf.DUMMYFUNCTION("importRange(""https://docs.google.com/spreadsheets/d/1wJ_EGfyF3MOdLcWZ42XWyb1msf-wcMLcijflHOsFOuM/edit?usp=sharing"",""E4"")"),11)</f>
        <v>11</v>
      </c>
      <c r="C100" s="4">
        <f ca="1">SUM(C92:C99)</f>
        <v>1</v>
      </c>
      <c r="D100" s="2">
        <v>2</v>
      </c>
    </row>
    <row r="102" spans="1:5" ht="13.2">
      <c r="A102" s="1" t="s">
        <v>14</v>
      </c>
      <c r="B102" s="5"/>
      <c r="C102" s="5"/>
      <c r="D102" s="5"/>
      <c r="E102" s="5"/>
    </row>
    <row r="103" spans="1:5" ht="13.2">
      <c r="A103" s="1" t="s">
        <v>23</v>
      </c>
      <c r="B103" s="1" t="s">
        <v>1</v>
      </c>
      <c r="C103" s="1" t="s">
        <v>24</v>
      </c>
      <c r="D103" s="1" t="s">
        <v>25</v>
      </c>
      <c r="E103" s="1"/>
    </row>
    <row r="104" spans="1:5" ht="13.2">
      <c r="A104" s="6" t="s">
        <v>26</v>
      </c>
      <c r="B104" s="2">
        <v>5</v>
      </c>
      <c r="C104" s="4">
        <f ca="1">B104/B112</f>
        <v>0.17857142857142858</v>
      </c>
      <c r="D104" s="2">
        <v>0</v>
      </c>
      <c r="E104" s="4"/>
    </row>
    <row r="105" spans="1:5" ht="13.2">
      <c r="A105" s="7" t="s">
        <v>27</v>
      </c>
      <c r="B105" s="2">
        <v>2</v>
      </c>
      <c r="C105" s="4">
        <f ca="1">B105/B112</f>
        <v>7.1428571428571425E-2</v>
      </c>
      <c r="D105" s="2">
        <v>0</v>
      </c>
      <c r="E105" s="4"/>
    </row>
    <row r="106" spans="1:5" ht="13.2">
      <c r="A106" s="8" t="s">
        <v>28</v>
      </c>
      <c r="B106" s="2">
        <v>5</v>
      </c>
      <c r="C106" s="4">
        <f ca="1">B106/B112</f>
        <v>0.17857142857142858</v>
      </c>
      <c r="D106" s="2">
        <v>0</v>
      </c>
      <c r="E106" s="4"/>
    </row>
    <row r="107" spans="1:5" ht="13.2">
      <c r="A107" s="9" t="s">
        <v>29</v>
      </c>
      <c r="B107" s="2">
        <v>0</v>
      </c>
      <c r="C107" s="4">
        <f ca="1">B107/B112</f>
        <v>0</v>
      </c>
      <c r="D107" s="2">
        <v>0</v>
      </c>
      <c r="E107" s="4"/>
    </row>
    <row r="108" spans="1:5" ht="13.2">
      <c r="A108" s="10" t="s">
        <v>30</v>
      </c>
      <c r="B108" s="2">
        <v>2</v>
      </c>
      <c r="C108" s="4">
        <f ca="1">B108/B112</f>
        <v>7.1428571428571425E-2</v>
      </c>
      <c r="D108" s="2">
        <v>0</v>
      </c>
      <c r="E108" s="4"/>
    </row>
    <row r="109" spans="1:5" ht="13.2">
      <c r="A109" s="11" t="s">
        <v>31</v>
      </c>
      <c r="B109" s="2">
        <v>7</v>
      </c>
      <c r="C109" s="4">
        <f ca="1">B109/B112</f>
        <v>0.25</v>
      </c>
      <c r="D109" s="2">
        <v>0</v>
      </c>
      <c r="E109" s="4"/>
    </row>
    <row r="110" spans="1:5" ht="13.2">
      <c r="A110" s="12" t="s">
        <v>32</v>
      </c>
      <c r="B110" s="2">
        <v>4</v>
      </c>
      <c r="C110" s="4">
        <f ca="1">B110/B112</f>
        <v>0.14285714285714285</v>
      </c>
      <c r="D110" s="2">
        <v>0</v>
      </c>
      <c r="E110" s="4"/>
    </row>
    <row r="111" spans="1:5" ht="13.2">
      <c r="A111" s="13" t="s">
        <v>33</v>
      </c>
      <c r="B111" s="2">
        <v>3</v>
      </c>
      <c r="C111" s="4">
        <f ca="1">B111/B112</f>
        <v>0.10714285714285714</v>
      </c>
      <c r="D111" s="2">
        <v>0</v>
      </c>
      <c r="E111" s="4"/>
    </row>
    <row r="112" spans="1:5" ht="13.2">
      <c r="A112" s="1" t="s">
        <v>21</v>
      </c>
      <c r="B112">
        <f ca="1">IFERROR(__xludf.DUMMYFUNCTION("importRange(""https://docs.google.com/spreadsheets/d/1wJ_EGfyF3MOdLcWZ42XWyb1msf-wcMLcijflHOsFOuM/edit?usp=sharing"",""E10"")"),28)</f>
        <v>28</v>
      </c>
      <c r="C112" s="4">
        <f ca="1">SUM(C104:C111)</f>
        <v>0.99999999999999989</v>
      </c>
      <c r="D112" s="2">
        <v>5</v>
      </c>
    </row>
    <row r="114" spans="1:5" ht="13.2">
      <c r="A114" s="1" t="s">
        <v>15</v>
      </c>
      <c r="B114" s="5"/>
      <c r="C114" s="5"/>
      <c r="D114" s="5"/>
      <c r="E114" s="5"/>
    </row>
    <row r="115" spans="1:5" ht="13.2">
      <c r="A115" s="1" t="s">
        <v>23</v>
      </c>
      <c r="B115" s="1" t="s">
        <v>1</v>
      </c>
      <c r="C115" s="1" t="s">
        <v>24</v>
      </c>
      <c r="D115" s="1" t="s">
        <v>25</v>
      </c>
      <c r="E115" s="1"/>
    </row>
    <row r="116" spans="1:5" ht="13.2">
      <c r="A116" s="6" t="s">
        <v>26</v>
      </c>
      <c r="B116" s="2">
        <v>5</v>
      </c>
      <c r="C116" s="4">
        <f ca="1">B116/B124</f>
        <v>0.11627906976744186</v>
      </c>
      <c r="D116" s="2">
        <v>0</v>
      </c>
      <c r="E116" s="4"/>
    </row>
    <row r="117" spans="1:5" ht="13.2">
      <c r="A117" s="7" t="s">
        <v>27</v>
      </c>
      <c r="B117" s="2">
        <v>7</v>
      </c>
      <c r="C117" s="4">
        <f ca="1">B117/B124</f>
        <v>0.16279069767441862</v>
      </c>
      <c r="D117" s="2">
        <v>0</v>
      </c>
      <c r="E117" s="4"/>
    </row>
    <row r="118" spans="1:5" ht="13.2">
      <c r="A118" s="8" t="s">
        <v>28</v>
      </c>
      <c r="B118" s="2">
        <v>6</v>
      </c>
      <c r="C118" s="4">
        <f ca="1">B118/B124</f>
        <v>0.13953488372093023</v>
      </c>
      <c r="D118" s="2">
        <v>0</v>
      </c>
      <c r="E118" s="4"/>
    </row>
    <row r="119" spans="1:5" ht="13.2">
      <c r="A119" s="9" t="s">
        <v>29</v>
      </c>
      <c r="B119" s="2">
        <v>0</v>
      </c>
      <c r="C119" s="4">
        <f ca="1">B119/B124</f>
        <v>0</v>
      </c>
      <c r="D119" s="2">
        <v>0</v>
      </c>
      <c r="E119" s="4"/>
    </row>
    <row r="120" spans="1:5" ht="13.2">
      <c r="A120" s="10" t="s">
        <v>30</v>
      </c>
      <c r="B120" s="2">
        <v>7</v>
      </c>
      <c r="C120" s="4">
        <f ca="1">B120/B124</f>
        <v>0.16279069767441862</v>
      </c>
      <c r="D120" s="2">
        <v>0</v>
      </c>
      <c r="E120" s="4"/>
    </row>
    <row r="121" spans="1:5" ht="13.2">
      <c r="A121" s="11" t="s">
        <v>31</v>
      </c>
      <c r="B121" s="2">
        <v>9</v>
      </c>
      <c r="C121" s="4">
        <f ca="1">B121/B124</f>
        <v>0.20930232558139536</v>
      </c>
      <c r="D121" s="2">
        <v>0</v>
      </c>
      <c r="E121" s="4"/>
    </row>
    <row r="122" spans="1:5" ht="13.2">
      <c r="A122" s="12" t="s">
        <v>32</v>
      </c>
      <c r="B122" s="2">
        <v>6</v>
      </c>
      <c r="C122" s="4">
        <f ca="1">B122/B124</f>
        <v>0.13953488372093023</v>
      </c>
      <c r="D122" s="2">
        <v>0</v>
      </c>
      <c r="E122" s="4"/>
    </row>
    <row r="123" spans="1:5" ht="13.2">
      <c r="A123" s="13" t="s">
        <v>33</v>
      </c>
      <c r="B123" s="2">
        <v>3</v>
      </c>
      <c r="C123" s="4">
        <f ca="1">B123/B124</f>
        <v>6.9767441860465115E-2</v>
      </c>
      <c r="D123" s="2">
        <v>0</v>
      </c>
      <c r="E123" s="4"/>
    </row>
    <row r="124" spans="1:5" ht="13.2">
      <c r="A124" s="1" t="s">
        <v>21</v>
      </c>
      <c r="B124">
        <f ca="1">IFERROR(__xludf.DUMMYFUNCTION("importRange(""https://docs.google.com/spreadsheets/d/1wJ_EGfyF3MOdLcWZ42XWyb1msf-wcMLcijflHOsFOuM/edit?usp=sharing"",""E2"")"),43)</f>
        <v>43</v>
      </c>
      <c r="C124" s="4">
        <f ca="1">SUM(C116:C123)</f>
        <v>1</v>
      </c>
      <c r="D124" s="2">
        <v>4</v>
      </c>
    </row>
    <row r="126" spans="1:5" ht="13.2">
      <c r="A126" s="1" t="s">
        <v>16</v>
      </c>
      <c r="B126" s="5"/>
      <c r="C126" s="5"/>
      <c r="D126" s="5"/>
      <c r="E126" s="5"/>
    </row>
    <row r="127" spans="1:5" ht="13.2">
      <c r="A127" s="1" t="s">
        <v>23</v>
      </c>
      <c r="B127" s="1" t="s">
        <v>1</v>
      </c>
      <c r="C127" s="1" t="s">
        <v>24</v>
      </c>
      <c r="D127" s="1" t="s">
        <v>25</v>
      </c>
      <c r="E127" s="1"/>
    </row>
    <row r="128" spans="1:5" ht="13.2">
      <c r="A128" s="6" t="s">
        <v>26</v>
      </c>
      <c r="B128" s="2">
        <v>0</v>
      </c>
      <c r="C128" s="4">
        <f ca="1">B128/B136</f>
        <v>0</v>
      </c>
      <c r="D128" s="2">
        <v>0</v>
      </c>
      <c r="E128" s="4"/>
    </row>
    <row r="129" spans="1:5" ht="13.2">
      <c r="A129" s="7" t="s">
        <v>27</v>
      </c>
      <c r="B129" s="2">
        <v>3</v>
      </c>
      <c r="C129" s="4">
        <f ca="1">B129/B136</f>
        <v>0.125</v>
      </c>
      <c r="D129" s="2">
        <v>0</v>
      </c>
      <c r="E129" s="4"/>
    </row>
    <row r="130" spans="1:5" ht="13.2">
      <c r="A130" s="8" t="s">
        <v>28</v>
      </c>
      <c r="B130" s="2">
        <v>5</v>
      </c>
      <c r="C130" s="4">
        <f ca="1">B130/B136</f>
        <v>0.20833333333333334</v>
      </c>
      <c r="D130" s="2">
        <v>0</v>
      </c>
      <c r="E130" s="4"/>
    </row>
    <row r="131" spans="1:5" ht="13.2">
      <c r="A131" s="9" t="s">
        <v>29</v>
      </c>
      <c r="B131" s="2">
        <v>0</v>
      </c>
      <c r="C131" s="4">
        <f ca="1">B131/B136</f>
        <v>0</v>
      </c>
      <c r="D131" s="2">
        <v>0</v>
      </c>
      <c r="E131" s="4"/>
    </row>
    <row r="132" spans="1:5" ht="13.2">
      <c r="A132" s="10" t="s">
        <v>30</v>
      </c>
      <c r="B132" s="2">
        <v>2</v>
      </c>
      <c r="C132" s="4">
        <f ca="1">B132/B136</f>
        <v>8.3333333333333329E-2</v>
      </c>
      <c r="D132" s="2">
        <v>0</v>
      </c>
      <c r="E132" s="4"/>
    </row>
    <row r="133" spans="1:5" ht="13.2">
      <c r="A133" s="11" t="s">
        <v>31</v>
      </c>
      <c r="B133" s="2">
        <v>10</v>
      </c>
      <c r="C133" s="4">
        <f ca="1">B133/B136</f>
        <v>0.41666666666666669</v>
      </c>
      <c r="D133" s="2">
        <v>0</v>
      </c>
      <c r="E133" s="4"/>
    </row>
    <row r="134" spans="1:5" ht="13.2">
      <c r="A134" s="12" t="s">
        <v>32</v>
      </c>
      <c r="B134" s="2">
        <v>3</v>
      </c>
      <c r="C134" s="4">
        <f ca="1">B134/B136</f>
        <v>0.125</v>
      </c>
      <c r="D134" s="2">
        <v>0</v>
      </c>
      <c r="E134" s="4"/>
    </row>
    <row r="135" spans="1:5" ht="13.2">
      <c r="A135" s="13" t="s">
        <v>33</v>
      </c>
      <c r="B135" s="2">
        <v>1</v>
      </c>
      <c r="C135" s="4">
        <f ca="1">B135/B136</f>
        <v>4.1666666666666664E-2</v>
      </c>
      <c r="D135" s="2">
        <v>0</v>
      </c>
      <c r="E135" s="4"/>
    </row>
    <row r="136" spans="1:5" ht="13.2">
      <c r="A136" s="1" t="s">
        <v>21</v>
      </c>
      <c r="B136">
        <f ca="1">IFERROR(__xludf.DUMMYFUNCTION("importRange(""https://docs.google.com/spreadsheets/d/1wJ_EGfyF3MOdLcWZ42XWyb1msf-wcMLcijflHOsFOuM/edit?usp=sharing"",""E5"")"),24)</f>
        <v>24</v>
      </c>
      <c r="C136" s="4">
        <f ca="1">SUM(C128:C135)</f>
        <v>1</v>
      </c>
      <c r="D136" s="2">
        <v>7</v>
      </c>
    </row>
    <row r="138" spans="1:5" ht="13.2">
      <c r="A138" s="1" t="s">
        <v>17</v>
      </c>
      <c r="B138" s="5"/>
      <c r="C138" s="5"/>
      <c r="D138" s="5"/>
      <c r="E138" s="5"/>
    </row>
    <row r="139" spans="1:5" ht="13.2">
      <c r="A139" s="1" t="s">
        <v>23</v>
      </c>
      <c r="B139" s="1" t="s">
        <v>1</v>
      </c>
      <c r="C139" s="1" t="s">
        <v>24</v>
      </c>
      <c r="D139" s="1" t="s">
        <v>25</v>
      </c>
      <c r="E139" s="1"/>
    </row>
    <row r="140" spans="1:5" ht="13.2">
      <c r="A140" s="6" t="s">
        <v>26</v>
      </c>
      <c r="B140" s="2">
        <v>1</v>
      </c>
      <c r="C140" s="4">
        <f ca="1">B140/B148</f>
        <v>4.7619047619047616E-2</v>
      </c>
      <c r="D140" s="2">
        <v>0</v>
      </c>
      <c r="E140" s="4"/>
    </row>
    <row r="141" spans="1:5" ht="13.2">
      <c r="A141" s="7" t="s">
        <v>27</v>
      </c>
      <c r="B141" s="2">
        <v>2</v>
      </c>
      <c r="C141" s="4">
        <f ca="1">B141/B148</f>
        <v>9.5238095238095233E-2</v>
      </c>
      <c r="D141" s="2">
        <v>0</v>
      </c>
      <c r="E141" s="4"/>
    </row>
    <row r="142" spans="1:5" ht="13.2">
      <c r="A142" s="8" t="s">
        <v>28</v>
      </c>
      <c r="B142" s="2">
        <v>2</v>
      </c>
      <c r="C142" s="4">
        <f ca="1">B142/B148</f>
        <v>9.5238095238095233E-2</v>
      </c>
      <c r="D142" s="2">
        <v>0</v>
      </c>
      <c r="E142" s="4"/>
    </row>
    <row r="143" spans="1:5" ht="13.2">
      <c r="A143" s="9" t="s">
        <v>29</v>
      </c>
      <c r="B143" s="2">
        <v>2</v>
      </c>
      <c r="C143" s="4">
        <f ca="1">B143/B148</f>
        <v>9.5238095238095233E-2</v>
      </c>
      <c r="D143" s="2">
        <v>0</v>
      </c>
      <c r="E143" s="4"/>
    </row>
    <row r="144" spans="1:5" ht="13.2">
      <c r="A144" s="10" t="s">
        <v>30</v>
      </c>
      <c r="B144" s="2">
        <v>3</v>
      </c>
      <c r="C144" s="4">
        <f ca="1">B144/B148</f>
        <v>0.14285714285714285</v>
      </c>
      <c r="D144" s="2">
        <v>0</v>
      </c>
      <c r="E144" s="4"/>
    </row>
    <row r="145" spans="1:5" ht="13.2">
      <c r="A145" s="11" t="s">
        <v>31</v>
      </c>
      <c r="B145" s="2">
        <v>5</v>
      </c>
      <c r="C145" s="4">
        <f ca="1">B145/B148</f>
        <v>0.23809523809523808</v>
      </c>
      <c r="D145" s="2">
        <v>0</v>
      </c>
      <c r="E145" s="4"/>
    </row>
    <row r="146" spans="1:5" ht="13.2">
      <c r="A146" s="12" t="s">
        <v>32</v>
      </c>
      <c r="B146" s="2">
        <v>5</v>
      </c>
      <c r="C146" s="4">
        <f ca="1">B146/B148</f>
        <v>0.23809523809523808</v>
      </c>
      <c r="D146" s="2">
        <v>0</v>
      </c>
      <c r="E146" s="4"/>
    </row>
    <row r="147" spans="1:5" ht="13.2">
      <c r="A147" s="13" t="s">
        <v>33</v>
      </c>
      <c r="B147" s="2">
        <v>1</v>
      </c>
      <c r="C147" s="4">
        <f ca="1">B147/B148</f>
        <v>4.7619047619047616E-2</v>
      </c>
      <c r="D147" s="2">
        <v>0</v>
      </c>
      <c r="E147" s="4"/>
    </row>
    <row r="148" spans="1:5" ht="13.2">
      <c r="A148" s="1" t="s">
        <v>21</v>
      </c>
      <c r="B148">
        <f ca="1">IFERROR(__xludf.DUMMYFUNCTION("importRange(""https://docs.google.com/spreadsheets/d/1wJ_EGfyF3MOdLcWZ42XWyb1msf-wcMLcijflHOsFOuM/edit?usp=sharing"",""E11"")"),21)</f>
        <v>21</v>
      </c>
      <c r="C148" s="4">
        <f ca="1">SUM(C140:C147)</f>
        <v>1</v>
      </c>
      <c r="D148" s="2">
        <v>2</v>
      </c>
    </row>
    <row r="150" spans="1:5" ht="13.2">
      <c r="A150" s="1" t="s">
        <v>18</v>
      </c>
      <c r="B150" s="5"/>
      <c r="C150" s="5"/>
      <c r="D150" s="5"/>
      <c r="E150" s="5"/>
    </row>
    <row r="151" spans="1:5" ht="13.2">
      <c r="A151" s="1" t="s">
        <v>23</v>
      </c>
      <c r="B151" s="1" t="s">
        <v>1</v>
      </c>
      <c r="C151" s="1" t="s">
        <v>24</v>
      </c>
      <c r="D151" s="1" t="s">
        <v>25</v>
      </c>
      <c r="E151" s="1"/>
    </row>
    <row r="152" spans="1:5" ht="13.2">
      <c r="A152" s="6" t="s">
        <v>26</v>
      </c>
      <c r="B152" s="2">
        <v>1</v>
      </c>
      <c r="C152" s="4">
        <f ca="1">B152/B160</f>
        <v>0.2</v>
      </c>
      <c r="D152" s="2">
        <v>0</v>
      </c>
      <c r="E152" s="4"/>
    </row>
    <row r="153" spans="1:5" ht="13.2">
      <c r="A153" s="7" t="s">
        <v>27</v>
      </c>
      <c r="B153" s="2">
        <v>0</v>
      </c>
      <c r="C153" s="4">
        <f ca="1">B153/B160</f>
        <v>0</v>
      </c>
      <c r="D153" s="2">
        <v>0</v>
      </c>
      <c r="E153" s="4"/>
    </row>
    <row r="154" spans="1:5" ht="13.2">
      <c r="A154" s="8" t="s">
        <v>28</v>
      </c>
      <c r="B154" s="2">
        <v>0</v>
      </c>
      <c r="C154" s="4">
        <f ca="1">B154/B160</f>
        <v>0</v>
      </c>
      <c r="D154" s="2">
        <v>0</v>
      </c>
      <c r="E154" s="4"/>
    </row>
    <row r="155" spans="1:5" ht="13.2">
      <c r="A155" s="9" t="s">
        <v>29</v>
      </c>
      <c r="B155" s="2">
        <v>0</v>
      </c>
      <c r="C155" s="4">
        <f ca="1">B155/B160</f>
        <v>0</v>
      </c>
      <c r="D155" s="2">
        <v>0</v>
      </c>
      <c r="E155" s="4"/>
    </row>
    <row r="156" spans="1:5" ht="13.2">
      <c r="A156" s="10" t="s">
        <v>30</v>
      </c>
      <c r="B156" s="2">
        <v>0</v>
      </c>
      <c r="C156" s="4">
        <f ca="1">B156/B160</f>
        <v>0</v>
      </c>
      <c r="D156" s="2">
        <v>0</v>
      </c>
      <c r="E156" s="4"/>
    </row>
    <row r="157" spans="1:5" ht="13.2">
      <c r="A157" s="11" t="s">
        <v>31</v>
      </c>
      <c r="B157" s="2">
        <v>1</v>
      </c>
      <c r="C157" s="4">
        <f ca="1">B157/B160</f>
        <v>0.2</v>
      </c>
      <c r="D157" s="2">
        <v>0</v>
      </c>
      <c r="E157" s="4"/>
    </row>
    <row r="158" spans="1:5" ht="13.2">
      <c r="A158" s="12" t="s">
        <v>32</v>
      </c>
      <c r="B158" s="2">
        <v>3</v>
      </c>
      <c r="C158" s="4">
        <f ca="1">B158/B160</f>
        <v>0.6</v>
      </c>
      <c r="D158" s="2">
        <v>0</v>
      </c>
      <c r="E158" s="4"/>
    </row>
    <row r="159" spans="1:5" ht="13.2">
      <c r="A159" s="13" t="s">
        <v>33</v>
      </c>
      <c r="B159" s="2">
        <v>0</v>
      </c>
      <c r="C159" s="4">
        <f ca="1">B159/B160</f>
        <v>0</v>
      </c>
      <c r="D159" s="2">
        <v>0</v>
      </c>
      <c r="E159" s="4"/>
    </row>
    <row r="160" spans="1:5" ht="13.2">
      <c r="A160" s="1" t="s">
        <v>21</v>
      </c>
      <c r="B160">
        <f ca="1">IFERROR(__xludf.DUMMYFUNCTION("importRange(""https://docs.google.com/spreadsheets/d/1wJ_EGfyF3MOdLcWZ42XWyb1msf-wcMLcijflHOsFOuM/edit?usp=sharing"",""E13"")"),5)</f>
        <v>5</v>
      </c>
      <c r="C160" s="4">
        <f ca="1">SUM(C152:C159)</f>
        <v>1</v>
      </c>
      <c r="D160" s="2">
        <v>2</v>
      </c>
    </row>
    <row r="162" spans="1:5" ht="13.2">
      <c r="A162" s="1" t="s">
        <v>19</v>
      </c>
      <c r="B162" s="5"/>
      <c r="C162" s="5"/>
      <c r="D162" s="5"/>
      <c r="E162" s="5"/>
    </row>
    <row r="163" spans="1:5" ht="13.2">
      <c r="A163" s="1" t="s">
        <v>23</v>
      </c>
      <c r="B163" s="1" t="s">
        <v>1</v>
      </c>
      <c r="C163" s="1" t="s">
        <v>24</v>
      </c>
      <c r="D163" s="1" t="s">
        <v>25</v>
      </c>
      <c r="E163" s="1"/>
    </row>
    <row r="164" spans="1:5" ht="13.2">
      <c r="A164" s="6" t="s">
        <v>26</v>
      </c>
      <c r="B164" s="2">
        <v>5</v>
      </c>
      <c r="C164" s="4">
        <f ca="1">B164/B172</f>
        <v>9.4339622641509441E-2</v>
      </c>
      <c r="D164" s="2">
        <v>0</v>
      </c>
      <c r="E164" s="4"/>
    </row>
    <row r="165" spans="1:5" ht="13.2">
      <c r="A165" s="7" t="s">
        <v>27</v>
      </c>
      <c r="B165" s="2">
        <v>2</v>
      </c>
      <c r="C165" s="4">
        <f ca="1">B165/B172</f>
        <v>3.7735849056603772E-2</v>
      </c>
      <c r="D165" s="2">
        <v>0</v>
      </c>
      <c r="E165" s="4"/>
    </row>
    <row r="166" spans="1:5" ht="13.2">
      <c r="A166" s="8" t="s">
        <v>28</v>
      </c>
      <c r="B166" s="2">
        <v>7</v>
      </c>
      <c r="C166" s="4">
        <f ca="1">B166/B172</f>
        <v>0.13207547169811321</v>
      </c>
      <c r="D166" s="2">
        <v>0</v>
      </c>
      <c r="E166" s="4"/>
    </row>
    <row r="167" spans="1:5" ht="13.2">
      <c r="A167" s="9" t="s">
        <v>29</v>
      </c>
      <c r="B167" s="2">
        <v>2</v>
      </c>
      <c r="C167" s="4">
        <f ca="1">B167/B172</f>
        <v>3.7735849056603772E-2</v>
      </c>
      <c r="D167" s="2">
        <v>0</v>
      </c>
      <c r="E167" s="4"/>
    </row>
    <row r="168" spans="1:5" ht="13.2">
      <c r="A168" s="10" t="s">
        <v>30</v>
      </c>
      <c r="B168" s="2">
        <v>4</v>
      </c>
      <c r="C168" s="4">
        <f ca="1">B168/B172</f>
        <v>7.5471698113207544E-2</v>
      </c>
      <c r="D168" s="2">
        <v>0</v>
      </c>
      <c r="E168" s="4"/>
    </row>
    <row r="169" spans="1:5" ht="13.2">
      <c r="A169" s="11" t="s">
        <v>31</v>
      </c>
      <c r="B169" s="2">
        <v>15</v>
      </c>
      <c r="C169" s="4">
        <f ca="1">B169/B172</f>
        <v>0.28301886792452829</v>
      </c>
      <c r="D169" s="2">
        <v>0</v>
      </c>
      <c r="E169" s="4"/>
    </row>
    <row r="170" spans="1:5" ht="13.2">
      <c r="A170" s="12" t="s">
        <v>32</v>
      </c>
      <c r="B170" s="2">
        <v>13</v>
      </c>
      <c r="C170" s="4">
        <f ca="1">B170/B172</f>
        <v>0.24528301886792453</v>
      </c>
      <c r="D170" s="2">
        <v>0</v>
      </c>
      <c r="E170" s="4"/>
    </row>
    <row r="171" spans="1:5" ht="13.2">
      <c r="A171" s="13" t="s">
        <v>33</v>
      </c>
      <c r="B171" s="2">
        <v>5</v>
      </c>
      <c r="C171" s="4">
        <f ca="1">B171/B172</f>
        <v>9.4339622641509441E-2</v>
      </c>
      <c r="D171" s="2">
        <v>0</v>
      </c>
      <c r="E171" s="4"/>
    </row>
    <row r="172" spans="1:5" ht="13.2">
      <c r="A172" s="1" t="s">
        <v>21</v>
      </c>
      <c r="B172">
        <f ca="1">IFERROR(__xludf.DUMMYFUNCTION("importRange(""https://docs.google.com/spreadsheets/d/1wJ_EGfyF3MOdLcWZ42XWyb1msf-wcMLcijflHOsFOuM/edit?usp=sharing"",""E3"")"),53)</f>
        <v>53</v>
      </c>
      <c r="C172" s="4">
        <f ca="1">SUM(C164:C171)</f>
        <v>1</v>
      </c>
      <c r="D172" s="2">
        <v>12</v>
      </c>
    </row>
    <row r="174" spans="1:5" ht="13.2">
      <c r="A174" s="1" t="s">
        <v>34</v>
      </c>
      <c r="B174" s="5"/>
      <c r="C174" s="5"/>
      <c r="D174" s="5"/>
      <c r="E174" s="5"/>
    </row>
    <row r="175" spans="1:5" ht="13.2">
      <c r="A175" s="1" t="s">
        <v>23</v>
      </c>
      <c r="B175" s="1" t="s">
        <v>1</v>
      </c>
      <c r="C175" s="1" t="s">
        <v>24</v>
      </c>
      <c r="D175" s="1" t="s">
        <v>25</v>
      </c>
      <c r="E175" s="1"/>
    </row>
    <row r="176" spans="1:5" ht="13.2">
      <c r="A176" s="6" t="s">
        <v>26</v>
      </c>
      <c r="B176" s="2">
        <v>1</v>
      </c>
      <c r="C176" s="4">
        <f ca="1">B176/B184</f>
        <v>6.25E-2</v>
      </c>
      <c r="D176" s="2">
        <v>0</v>
      </c>
      <c r="E176" s="4"/>
    </row>
    <row r="177" spans="1:5" ht="13.2">
      <c r="A177" s="7" t="s">
        <v>27</v>
      </c>
      <c r="B177" s="2">
        <v>1</v>
      </c>
      <c r="C177" s="4">
        <f ca="1">B177/B184</f>
        <v>6.25E-2</v>
      </c>
      <c r="D177" s="2">
        <v>0</v>
      </c>
      <c r="E177" s="4"/>
    </row>
    <row r="178" spans="1:5" ht="13.2">
      <c r="A178" s="8" t="s">
        <v>28</v>
      </c>
      <c r="B178" s="2">
        <v>5</v>
      </c>
      <c r="C178" s="4">
        <f ca="1">B178/B184</f>
        <v>0.3125</v>
      </c>
      <c r="D178" s="2">
        <v>0</v>
      </c>
      <c r="E178" s="4"/>
    </row>
    <row r="179" spans="1:5" ht="13.2">
      <c r="A179" s="9" t="s">
        <v>29</v>
      </c>
      <c r="B179" s="2">
        <v>1</v>
      </c>
      <c r="C179" s="4">
        <f ca="1">B179/B184</f>
        <v>6.25E-2</v>
      </c>
      <c r="D179" s="2">
        <v>0</v>
      </c>
      <c r="E179" s="4"/>
    </row>
    <row r="180" spans="1:5" ht="13.2">
      <c r="A180" s="10" t="s">
        <v>30</v>
      </c>
      <c r="B180" s="2">
        <v>1</v>
      </c>
      <c r="C180" s="4">
        <f ca="1">B180/B184</f>
        <v>6.25E-2</v>
      </c>
      <c r="D180" s="2">
        <v>0</v>
      </c>
      <c r="E180" s="4"/>
    </row>
    <row r="181" spans="1:5" ht="13.2">
      <c r="A181" s="11" t="s">
        <v>31</v>
      </c>
      <c r="B181" s="2">
        <v>6</v>
      </c>
      <c r="C181" s="4">
        <f ca="1">B181/B184</f>
        <v>0.375</v>
      </c>
      <c r="D181" s="2">
        <v>0</v>
      </c>
      <c r="E181" s="4"/>
    </row>
    <row r="182" spans="1:5" ht="13.2">
      <c r="A182" s="12" t="s">
        <v>32</v>
      </c>
      <c r="B182" s="2">
        <v>1</v>
      </c>
      <c r="C182" s="4">
        <f ca="1">B182/B184</f>
        <v>6.25E-2</v>
      </c>
      <c r="D182" s="2">
        <v>0</v>
      </c>
      <c r="E182" s="4"/>
    </row>
    <row r="183" spans="1:5" ht="13.2">
      <c r="A183" s="13" t="s">
        <v>33</v>
      </c>
      <c r="B183" s="2">
        <v>0</v>
      </c>
      <c r="C183" s="4">
        <f ca="1">B183/B184</f>
        <v>0</v>
      </c>
      <c r="D183" s="2">
        <v>0</v>
      </c>
      <c r="E183" s="4"/>
    </row>
    <row r="184" spans="1:5" ht="13.2">
      <c r="A184" s="1" t="s">
        <v>21</v>
      </c>
      <c r="B184">
        <f ca="1">IFERROR(__xludf.DUMMYFUNCTION("importRange(""https://docs.google.com/spreadsheets/d/1wJ_EGfyF3MOdLcWZ42XWyb1msf-wcMLcijflHOsFOuM/edit?usp=sharing"",""E14"")"),16)</f>
        <v>16</v>
      </c>
      <c r="C184" s="4">
        <f ca="1">SUM(C176:C183)</f>
        <v>1</v>
      </c>
      <c r="D184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9"/>
  <sheetViews>
    <sheetView workbookViewId="0"/>
  </sheetViews>
  <sheetFormatPr defaultColWidth="14.44140625" defaultRowHeight="15.75" customHeight="1"/>
  <cols>
    <col min="1" max="1" width="32.6640625" customWidth="1"/>
    <col min="2" max="2" width="24" customWidth="1"/>
    <col min="3" max="3" width="17.88671875" customWidth="1"/>
    <col min="4" max="4" width="25.5546875" customWidth="1"/>
    <col min="5" max="5" width="30.33203125" customWidth="1"/>
    <col min="6" max="6" width="24" customWidth="1"/>
    <col min="7" max="7" width="15" customWidth="1"/>
    <col min="8" max="8" width="24" customWidth="1"/>
    <col min="9" max="9" width="12.5546875" customWidth="1"/>
  </cols>
  <sheetData>
    <row r="1" spans="1:7" ht="15.75" customHeight="1">
      <c r="A1" s="1" t="s">
        <v>1</v>
      </c>
      <c r="B1" s="2">
        <f ca="1">B19</f>
        <v>284</v>
      </c>
    </row>
    <row r="2" spans="1:7" ht="15.75" customHeight="1">
      <c r="A2" s="1" t="s">
        <v>35</v>
      </c>
      <c r="B2">
        <f ca="1">C19</f>
        <v>46</v>
      </c>
    </row>
    <row r="3" spans="1:7" ht="15.75" customHeight="1">
      <c r="A3" s="1" t="s">
        <v>36</v>
      </c>
      <c r="B3">
        <f ca="1">IFERROR(__xludf.DUMMYFUNCTION("importRange(""https://docs.google.com/spreadsheets/d/1-ILtASPuGeesucImDBMpKTO9hI3xNb9k967XeTE18eI/edit?usp=sharing"",""H10"")"),46)</f>
        <v>46</v>
      </c>
      <c r="C3" s="15" t="str">
        <f ca="1">IF(B2 &gt; B3, "ACHTUNG!", " ")</f>
        <v xml:space="preserve"> </v>
      </c>
    </row>
    <row r="4" spans="1:7" ht="15.75" customHeight="1">
      <c r="A4" s="1" t="s">
        <v>37</v>
      </c>
      <c r="B4">
        <f ca="1">D19</f>
        <v>238</v>
      </c>
    </row>
    <row r="5" spans="1:7" ht="15.75" customHeight="1">
      <c r="A5" s="1" t="s">
        <v>38</v>
      </c>
      <c r="B5">
        <f ca="1">D19-D18</f>
        <v>238</v>
      </c>
    </row>
    <row r="6" spans="1:7" ht="15.75" customHeight="1">
      <c r="A6" s="1" t="s">
        <v>39</v>
      </c>
      <c r="B6" s="2">
        <v>25</v>
      </c>
    </row>
    <row r="7" spans="1:7" ht="15.75" customHeight="1">
      <c r="A7" s="1" t="s">
        <v>40</v>
      </c>
      <c r="B7">
        <f ca="1">B5/B6</f>
        <v>9.52</v>
      </c>
    </row>
    <row r="9" spans="1:7" ht="15.75" customHeight="1">
      <c r="A9" s="1" t="s">
        <v>41</v>
      </c>
      <c r="B9" s="1" t="s">
        <v>42</v>
      </c>
      <c r="C9" s="1" t="s">
        <v>35</v>
      </c>
      <c r="D9" s="1" t="s">
        <v>43</v>
      </c>
      <c r="E9" s="1" t="s">
        <v>44</v>
      </c>
      <c r="F9" s="1" t="s">
        <v>45</v>
      </c>
      <c r="G9" s="1" t="s">
        <v>46</v>
      </c>
    </row>
    <row r="10" spans="1:7" ht="15.75" customHeight="1">
      <c r="A10" s="6" t="s">
        <v>26</v>
      </c>
      <c r="B10" s="2">
        <f ca="1">IFERROR(__xludf.DUMMYFUNCTION("importRange(""https://docs.google.com/spreadsheets/d/1wJ_EGfyF3MOdLcWZ42XWyb1msf-wcMLcijflHOsFOuM/edit?usp=sharing"",""B4"")"),28)</f>
        <v>28</v>
      </c>
      <c r="C10" s="2">
        <f ca="1">IFERROR(__xludf.DUMMYFUNCTION("importRange(""https://docs.google.com/spreadsheets/d/1-ILtASPuGeesucImDBMpKTO9hI3xNb9k967XeTE18eI/edit?usp=sharing"",""H2"")"),2)</f>
        <v>2</v>
      </c>
      <c r="D10">
        <f t="shared" ref="D10:D18" ca="1" si="0">B10-C10</f>
        <v>26</v>
      </c>
      <c r="E10" s="2">
        <f ca="1">D10/B7</f>
        <v>2.73109243697479</v>
      </c>
      <c r="F10" s="2">
        <v>2</v>
      </c>
      <c r="G10" s="4">
        <f t="shared" ref="G10:G17" ca="1" si="1">C10/B10</f>
        <v>7.1428571428571425E-2</v>
      </c>
    </row>
    <row r="11" spans="1:7" ht="15.75" customHeight="1">
      <c r="A11" s="7" t="s">
        <v>27</v>
      </c>
      <c r="B11" s="2">
        <f ca="1">IFERROR(__xludf.DUMMYFUNCTION("importRange(""https://docs.google.com/spreadsheets/d/1wJ_EGfyF3MOdLcWZ42XWyb1msf-wcMLcijflHOsFOuM/edit?usp=sharing"",""B5"")"),19)</f>
        <v>19</v>
      </c>
      <c r="C11" s="2">
        <f ca="1">IFERROR(__xludf.DUMMYFUNCTION("importRange(""https://docs.google.com/spreadsheets/d/1-ILtASPuGeesucImDBMpKTO9hI3xNb9k967XeTE18eI/edit?usp=sharing"",""H3"")"),0)</f>
        <v>0</v>
      </c>
      <c r="D11">
        <f t="shared" ca="1" si="0"/>
        <v>19</v>
      </c>
      <c r="E11" s="2">
        <f ca="1">D11/B7</f>
        <v>1.9957983193277311</v>
      </c>
      <c r="F11" s="2">
        <v>1</v>
      </c>
      <c r="G11" s="4">
        <f t="shared" ca="1" si="1"/>
        <v>0</v>
      </c>
    </row>
    <row r="12" spans="1:7" ht="15.75" customHeight="1">
      <c r="A12" s="8" t="s">
        <v>28</v>
      </c>
      <c r="B12" s="2">
        <f ca="1">IFERROR(__xludf.DUMMYFUNCTION("importRange(""https://docs.google.com/spreadsheets/d/1wJ_EGfyF3MOdLcWZ42XWyb1msf-wcMLcijflHOsFOuM/edit?usp=sharing"",""B8"")"),48)</f>
        <v>48</v>
      </c>
      <c r="C12" s="2">
        <f ca="1">IFERROR(__xludf.DUMMYFUNCTION("importRange(""https://docs.google.com/spreadsheets/d/1-ILtASPuGeesucImDBMpKTO9hI3xNb9k967XeTE18eI/edit?usp=sharing"",""H4"")"),19)</f>
        <v>19</v>
      </c>
      <c r="D12">
        <f t="shared" ca="1" si="0"/>
        <v>29</v>
      </c>
      <c r="E12" s="2">
        <f ca="1">D12/B7</f>
        <v>3.0462184873949583</v>
      </c>
      <c r="F12" s="2">
        <v>3</v>
      </c>
      <c r="G12" s="4">
        <f t="shared" ca="1" si="1"/>
        <v>0.39583333333333331</v>
      </c>
    </row>
    <row r="13" spans="1:7" ht="15.75" customHeight="1">
      <c r="A13" s="9" t="s">
        <v>29</v>
      </c>
      <c r="B13" s="2">
        <f ca="1">IFERROR(__xludf.DUMMYFUNCTION("importRange(""https://docs.google.com/spreadsheets/d/1wJ_EGfyF3MOdLcWZ42XWyb1msf-wcMLcijflHOsFOuM/edit?usp=sharing"",""B7"")"),10)</f>
        <v>10</v>
      </c>
      <c r="C13" s="2">
        <f ca="1">IFERROR(__xludf.DUMMYFUNCTION("importRange(""https://docs.google.com/spreadsheets/d/1-ILtASPuGeesucImDBMpKTO9hI3xNb9k967XeTE18eI/edit?usp=sharing"",""H5"")"),1)</f>
        <v>1</v>
      </c>
      <c r="D13" s="2">
        <f t="shared" ca="1" si="0"/>
        <v>9</v>
      </c>
      <c r="E13" s="2">
        <f ca="1">D13/B7</f>
        <v>0.94537815126050428</v>
      </c>
      <c r="F13" s="2">
        <v>0</v>
      </c>
      <c r="G13" s="4">
        <f t="shared" ca="1" si="1"/>
        <v>0.1</v>
      </c>
    </row>
    <row r="14" spans="1:7" ht="15.75" customHeight="1">
      <c r="A14" s="10" t="s">
        <v>30</v>
      </c>
      <c r="B14" s="2">
        <f ca="1">IFERROR(__xludf.DUMMYFUNCTION("importRange(""https://docs.google.com/spreadsheets/d/1wJ_EGfyF3MOdLcWZ42XWyb1msf-wcMLcijflHOsFOuM/edit?usp=sharing"",""B6"")"),25)</f>
        <v>25</v>
      </c>
      <c r="C14" s="2">
        <f ca="1">IFERROR(__xludf.DUMMYFUNCTION("importRange(""https://docs.google.com/spreadsheets/d/1-ILtASPuGeesucImDBMpKTO9hI3xNb9k967XeTE18eI/edit?usp=sharing"",""H6"")"),0)</f>
        <v>0</v>
      </c>
      <c r="D14">
        <f t="shared" ca="1" si="0"/>
        <v>25</v>
      </c>
      <c r="E14" s="2">
        <f ca="1">D14/B7</f>
        <v>2.6260504201680672</v>
      </c>
      <c r="F14" s="2">
        <v>2</v>
      </c>
      <c r="G14" s="4">
        <f t="shared" ca="1" si="1"/>
        <v>0</v>
      </c>
    </row>
    <row r="15" spans="1:7" ht="15.75" customHeight="1">
      <c r="A15" s="11" t="s">
        <v>31</v>
      </c>
      <c r="B15" s="2">
        <f ca="1">IFERROR(__xludf.DUMMYFUNCTION("importRange(""https://docs.google.com/spreadsheets/d/1wJ_EGfyF3MOdLcWZ42XWyb1msf-wcMLcijflHOsFOuM/edit?usp=sharing"",""B2"")"),80)</f>
        <v>80</v>
      </c>
      <c r="C15" s="2">
        <f ca="1">IFERROR(__xludf.DUMMYFUNCTION("importRange(""https://docs.google.com/spreadsheets/d/1-ILtASPuGeesucImDBMpKTO9hI3xNb9k967XeTE18eI/edit?usp=sharing"",""H7"")"),13)</f>
        <v>13</v>
      </c>
      <c r="D15">
        <f t="shared" ca="1" si="0"/>
        <v>67</v>
      </c>
      <c r="E15" s="2">
        <f ca="1">D15/B7</f>
        <v>7.0378151260504209</v>
      </c>
      <c r="F15" s="2">
        <v>7</v>
      </c>
      <c r="G15" s="4">
        <f t="shared" ca="1" si="1"/>
        <v>0.16250000000000001</v>
      </c>
    </row>
    <row r="16" spans="1:7" ht="15.75" customHeight="1">
      <c r="A16" s="12" t="s">
        <v>32</v>
      </c>
      <c r="B16" s="2">
        <f ca="1">IFERROR(__xludf.DUMMYFUNCTION("importRange(""https://docs.google.com/spreadsheets/d/1wJ_EGfyF3MOdLcWZ42XWyb1msf-wcMLcijflHOsFOuM/edit?usp=sharing"",""B3"")"),57)</f>
        <v>57</v>
      </c>
      <c r="C16" s="2">
        <f ca="1">IFERROR(__xludf.DUMMYFUNCTION("importRange(""https://docs.google.com/spreadsheets/d/1-ILtASPuGeesucImDBMpKTO9hI3xNb9k967XeTE18eI/edit?usp=sharing"",""H8"")"),9)</f>
        <v>9</v>
      </c>
      <c r="D16" s="2">
        <f t="shared" ca="1" si="0"/>
        <v>48</v>
      </c>
      <c r="E16">
        <f ca="1">D16/B7</f>
        <v>5.0420168067226889</v>
      </c>
      <c r="F16" s="2">
        <v>5</v>
      </c>
      <c r="G16" s="4">
        <f t="shared" ca="1" si="1"/>
        <v>0.15789473684210525</v>
      </c>
    </row>
    <row r="17" spans="1:11" ht="15.75" customHeight="1">
      <c r="A17" s="13" t="s">
        <v>33</v>
      </c>
      <c r="B17" s="2">
        <f ca="1">IFERROR(__xludf.DUMMYFUNCTION("importRange(""https://docs.google.com/spreadsheets/d/1wJ_EGfyF3MOdLcWZ42XWyb1msf-wcMLcijflHOsFOuM/edit?usp=sharing"",""B9"")"),17)</f>
        <v>17</v>
      </c>
      <c r="C17" s="2">
        <f ca="1">IFERROR(__xludf.DUMMYFUNCTION("importRange(""https://docs.google.com/spreadsheets/d/1-ILtASPuGeesucImDBMpKTO9hI3xNb9k967XeTE18eI/edit?usp=sharing"",""H9"")"),2)</f>
        <v>2</v>
      </c>
      <c r="D17">
        <f t="shared" ca="1" si="0"/>
        <v>15</v>
      </c>
      <c r="E17">
        <f ca="1">D17/B7</f>
        <v>1.5756302521008405</v>
      </c>
      <c r="F17" s="2">
        <v>1</v>
      </c>
      <c r="G17" s="4">
        <f t="shared" ca="1" si="1"/>
        <v>0.11764705882352941</v>
      </c>
    </row>
    <row r="18" spans="1:11" ht="15.75" customHeight="1">
      <c r="A18" s="2" t="s">
        <v>47</v>
      </c>
      <c r="B18" s="2">
        <v>0</v>
      </c>
      <c r="C18" s="2">
        <v>0</v>
      </c>
      <c r="D18">
        <f t="shared" si="0"/>
        <v>0</v>
      </c>
      <c r="E18" s="2">
        <v>0</v>
      </c>
      <c r="F18" s="2">
        <v>0</v>
      </c>
      <c r="G18" s="3">
        <v>0</v>
      </c>
    </row>
    <row r="19" spans="1:11" ht="15.75" customHeight="1">
      <c r="A19" s="2" t="s">
        <v>1</v>
      </c>
      <c r="B19">
        <f ca="1">SUM(B10:B18)</f>
        <v>284</v>
      </c>
      <c r="C19" s="2">
        <f ca="1">IFERROR(__xludf.DUMMYFUNCTION("importRange(""https://docs.google.com/spreadsheets/d/1wJ_EGfyF3MOdLcWZ42XWyb1msf-wcMLcijflHOsFOuM/edit?usp=sharing"",""H2"")"),46)</f>
        <v>46</v>
      </c>
      <c r="D19">
        <f ca="1">SUM(D10:D18)</f>
        <v>238</v>
      </c>
      <c r="G19" s="4">
        <f ca="1">C19/B19</f>
        <v>0.1619718309859155</v>
      </c>
    </row>
    <row r="20" spans="1:11" ht="15.75" customHeight="1">
      <c r="E20" s="1" t="s">
        <v>48</v>
      </c>
      <c r="F20">
        <f>SUM(F10:F17)</f>
        <v>21</v>
      </c>
    </row>
    <row r="21" spans="1:11" ht="15.75" customHeight="1">
      <c r="E21" s="1" t="s">
        <v>49</v>
      </c>
      <c r="F21">
        <f>B6-F20</f>
        <v>4</v>
      </c>
    </row>
    <row r="22" spans="1:11" ht="15.75" customHeight="1">
      <c r="B22" s="1"/>
      <c r="C22" s="2"/>
      <c r="D22" s="1"/>
      <c r="E22" s="2"/>
      <c r="F22" s="1"/>
      <c r="G22" s="2"/>
      <c r="H22" s="1"/>
      <c r="I22" s="2"/>
    </row>
    <row r="23" spans="1:11" ht="15.75" customHeight="1">
      <c r="B23" s="1"/>
      <c r="C23" s="2"/>
      <c r="D23" s="1"/>
      <c r="E23" s="2"/>
      <c r="F23" s="1"/>
      <c r="G23" s="2"/>
      <c r="H23" s="1"/>
      <c r="I23" s="2"/>
    </row>
    <row r="24" spans="1:11" ht="15.75" customHeight="1">
      <c r="B24" s="2" t="s">
        <v>50</v>
      </c>
      <c r="C24" s="1" t="s">
        <v>51</v>
      </c>
      <c r="D24" s="2" t="s">
        <v>50</v>
      </c>
      <c r="E24" s="1" t="s">
        <v>52</v>
      </c>
      <c r="F24" s="2" t="s">
        <v>50</v>
      </c>
      <c r="G24" s="1" t="s">
        <v>53</v>
      </c>
      <c r="H24" s="2" t="s">
        <v>50</v>
      </c>
      <c r="I24" s="1" t="s">
        <v>54</v>
      </c>
      <c r="J24" s="2" t="s">
        <v>50</v>
      </c>
      <c r="K24" s="1" t="s">
        <v>55</v>
      </c>
    </row>
    <row r="25" spans="1:11" ht="15.75" customHeight="1">
      <c r="A25" s="6" t="s">
        <v>26</v>
      </c>
      <c r="B25" s="2">
        <f>F10+1</f>
        <v>3</v>
      </c>
      <c r="C25">
        <f ca="1">D10/B25</f>
        <v>8.6666666666666661</v>
      </c>
      <c r="D25" s="2">
        <f>B25</f>
        <v>3</v>
      </c>
      <c r="E25">
        <f ca="1">D10/D25</f>
        <v>8.6666666666666661</v>
      </c>
      <c r="F25" s="2">
        <f t="shared" ref="F25:F26" si="2">D25</f>
        <v>3</v>
      </c>
      <c r="G25" s="2">
        <f ca="1">D10/F25</f>
        <v>8.6666666666666661</v>
      </c>
      <c r="H25" s="2">
        <f t="shared" ref="H25:H27" si="3">F25</f>
        <v>3</v>
      </c>
      <c r="I25" s="16">
        <f ca="1">D10/H25</f>
        <v>8.6666666666666661</v>
      </c>
      <c r="J25" s="2">
        <f>H25+1</f>
        <v>4</v>
      </c>
      <c r="K25" s="2">
        <f ca="1">D10/J25</f>
        <v>6.5</v>
      </c>
    </row>
    <row r="26" spans="1:11" ht="15.75" customHeight="1">
      <c r="A26" s="7" t="s">
        <v>56</v>
      </c>
      <c r="B26" s="2">
        <f>F11+F14+1</f>
        <v>4</v>
      </c>
      <c r="C26" s="17">
        <f ca="1">(D11+D14)/B26</f>
        <v>11</v>
      </c>
      <c r="D26" s="2">
        <f>B26+1</f>
        <v>5</v>
      </c>
      <c r="E26">
        <f ca="1">(D11+D14)/D26</f>
        <v>8.8000000000000007</v>
      </c>
      <c r="F26" s="2">
        <f t="shared" si="2"/>
        <v>5</v>
      </c>
      <c r="G26" s="18">
        <f ca="1">(D11+D14)/F26</f>
        <v>8.8000000000000007</v>
      </c>
      <c r="H26" s="2">
        <f t="shared" si="3"/>
        <v>5</v>
      </c>
      <c r="I26" s="18">
        <f ca="1">(D11+D14)/H26</f>
        <v>8.8000000000000007</v>
      </c>
      <c r="J26" s="2">
        <f t="shared" ref="J26:J31" si="4">H26</f>
        <v>5</v>
      </c>
      <c r="K26" s="19">
        <f ca="1">(D11+D14)/J26</f>
        <v>8.8000000000000007</v>
      </c>
    </row>
    <row r="27" spans="1:11" ht="15.75" customHeight="1">
      <c r="A27" s="8" t="s">
        <v>28</v>
      </c>
      <c r="B27" s="2">
        <f t="shared" ref="B27:B28" si="5">F12+1</f>
        <v>4</v>
      </c>
      <c r="C27">
        <f t="shared" ref="C27:C28" ca="1" si="6">D12/B27</f>
        <v>7.25</v>
      </c>
      <c r="D27" s="2">
        <f t="shared" ref="D27:D31" si="7">B27</f>
        <v>4</v>
      </c>
      <c r="E27" s="17">
        <f t="shared" ref="E27:E28" ca="1" si="8">D12/D27</f>
        <v>7.25</v>
      </c>
      <c r="F27" s="2">
        <f>D27+1</f>
        <v>5</v>
      </c>
      <c r="G27">
        <f t="shared" ref="G27:G28" ca="1" si="9">D12/F27</f>
        <v>5.8</v>
      </c>
      <c r="H27" s="2">
        <f t="shared" si="3"/>
        <v>5</v>
      </c>
      <c r="I27">
        <f t="shared" ref="I27:I28" ca="1" si="10">D12/H27</f>
        <v>5.8</v>
      </c>
      <c r="J27" s="2">
        <f t="shared" si="4"/>
        <v>5</v>
      </c>
      <c r="K27">
        <f t="shared" ref="K27:K28" ca="1" si="11">D12/J27</f>
        <v>5.8</v>
      </c>
    </row>
    <row r="28" spans="1:11" ht="13.2">
      <c r="A28" s="9" t="s">
        <v>29</v>
      </c>
      <c r="B28" s="2">
        <f t="shared" si="5"/>
        <v>1</v>
      </c>
      <c r="C28">
        <f t="shared" ca="1" si="6"/>
        <v>9</v>
      </c>
      <c r="D28" s="2">
        <f t="shared" si="7"/>
        <v>1</v>
      </c>
      <c r="E28">
        <f t="shared" ca="1" si="8"/>
        <v>9</v>
      </c>
      <c r="F28" s="2">
        <f t="shared" ref="F28:F31" si="12">D28</f>
        <v>1</v>
      </c>
      <c r="G28" s="17">
        <f t="shared" ca="1" si="9"/>
        <v>9</v>
      </c>
      <c r="H28" s="2">
        <f>F28+1</f>
        <v>2</v>
      </c>
      <c r="I28">
        <f t="shared" ca="1" si="10"/>
        <v>4.5</v>
      </c>
      <c r="J28" s="2">
        <f t="shared" si="4"/>
        <v>2</v>
      </c>
      <c r="K28">
        <f t="shared" ca="1" si="11"/>
        <v>4.5</v>
      </c>
    </row>
    <row r="29" spans="1:11" ht="13.2">
      <c r="A29" s="11" t="s">
        <v>31</v>
      </c>
      <c r="B29" s="2">
        <f t="shared" ref="B29:B31" si="13">F15+1</f>
        <v>8</v>
      </c>
      <c r="C29">
        <f t="shared" ref="C29:C31" ca="1" si="14">D15/B29</f>
        <v>8.375</v>
      </c>
      <c r="D29" s="2">
        <f t="shared" si="7"/>
        <v>8</v>
      </c>
      <c r="E29">
        <f t="shared" ref="E29:E31" ca="1" si="15">D15/D29</f>
        <v>8.375</v>
      </c>
      <c r="F29" s="2">
        <f t="shared" si="12"/>
        <v>8</v>
      </c>
      <c r="G29">
        <f t="shared" ref="G29:G31" ca="1" si="16">D15/F29</f>
        <v>8.375</v>
      </c>
      <c r="H29" s="2">
        <f t="shared" ref="H29:H31" si="17">F29</f>
        <v>8</v>
      </c>
      <c r="I29">
        <f t="shared" ref="I29:I31" ca="1" si="18">D15/H29</f>
        <v>8.375</v>
      </c>
      <c r="J29" s="2">
        <f t="shared" si="4"/>
        <v>8</v>
      </c>
      <c r="K29">
        <f t="shared" ref="K29:K31" ca="1" si="19">D15/J29</f>
        <v>8.375</v>
      </c>
    </row>
    <row r="30" spans="1:11" ht="13.2">
      <c r="A30" s="12" t="s">
        <v>32</v>
      </c>
      <c r="B30" s="2">
        <f t="shared" si="13"/>
        <v>6</v>
      </c>
      <c r="C30">
        <f t="shared" ca="1" si="14"/>
        <v>8</v>
      </c>
      <c r="D30" s="2">
        <f t="shared" si="7"/>
        <v>6</v>
      </c>
      <c r="E30">
        <f t="shared" ca="1" si="15"/>
        <v>8</v>
      </c>
      <c r="F30" s="2">
        <f t="shared" si="12"/>
        <v>6</v>
      </c>
      <c r="G30">
        <f t="shared" ca="1" si="16"/>
        <v>8</v>
      </c>
      <c r="H30" s="2">
        <f t="shared" si="17"/>
        <v>6</v>
      </c>
      <c r="I30">
        <f t="shared" ca="1" si="18"/>
        <v>8</v>
      </c>
      <c r="J30" s="2">
        <f t="shared" si="4"/>
        <v>6</v>
      </c>
      <c r="K30">
        <f t="shared" ca="1" si="19"/>
        <v>8</v>
      </c>
    </row>
    <row r="31" spans="1:11" ht="13.2">
      <c r="A31" s="13" t="s">
        <v>33</v>
      </c>
      <c r="B31" s="2">
        <f t="shared" si="13"/>
        <v>2</v>
      </c>
      <c r="C31">
        <f t="shared" ca="1" si="14"/>
        <v>7.5</v>
      </c>
      <c r="D31" s="2">
        <f t="shared" si="7"/>
        <v>2</v>
      </c>
      <c r="E31">
        <f t="shared" ca="1" si="15"/>
        <v>7.5</v>
      </c>
      <c r="F31" s="2">
        <f t="shared" si="12"/>
        <v>2</v>
      </c>
      <c r="G31">
        <f t="shared" ca="1" si="16"/>
        <v>7.5</v>
      </c>
      <c r="H31" s="2">
        <f t="shared" si="17"/>
        <v>2</v>
      </c>
      <c r="I31">
        <f t="shared" ca="1" si="18"/>
        <v>7.5</v>
      </c>
      <c r="J31" s="2">
        <f t="shared" si="4"/>
        <v>2</v>
      </c>
      <c r="K31">
        <f t="shared" ca="1" si="19"/>
        <v>7.5</v>
      </c>
    </row>
    <row r="32" spans="1:11" ht="13.2">
      <c r="D32" s="2"/>
      <c r="F32" s="2"/>
      <c r="H32" s="2"/>
    </row>
    <row r="33" spans="1:8" ht="13.2">
      <c r="A33" s="2"/>
      <c r="B33" s="2" t="s">
        <v>57</v>
      </c>
      <c r="C33" s="20" t="s">
        <v>58</v>
      </c>
      <c r="D33" s="2"/>
      <c r="F33" s="2"/>
      <c r="H33" s="2"/>
    </row>
    <row r="34" spans="1:8" ht="13.2">
      <c r="B34" s="2" t="s">
        <v>59</v>
      </c>
    </row>
    <row r="35" spans="1:8" ht="13.2">
      <c r="B35" s="1"/>
      <c r="C35" s="2"/>
      <c r="D35" s="1"/>
      <c r="E35" s="2"/>
      <c r="F35" s="1"/>
      <c r="G35" s="2"/>
    </row>
    <row r="36" spans="1:8" ht="13.2">
      <c r="A36" s="1"/>
      <c r="B36" s="1"/>
      <c r="C36" s="1"/>
      <c r="D36" s="1"/>
      <c r="E36" s="1"/>
      <c r="F36" s="1"/>
      <c r="G36" s="1"/>
      <c r="H36" s="1"/>
    </row>
    <row r="37" spans="1:8" ht="13.2">
      <c r="A37" s="21"/>
    </row>
    <row r="38" spans="1:8" ht="13.2">
      <c r="A38" s="21"/>
    </row>
    <row r="39" spans="1:8" ht="13.2">
      <c r="A39" s="21"/>
      <c r="B39" s="2"/>
    </row>
    <row r="40" spans="1:8" ht="13.2">
      <c r="A40" s="21"/>
    </row>
    <row r="41" spans="1:8" ht="13.2">
      <c r="A41" s="21"/>
    </row>
    <row r="42" spans="1:8" ht="13.2">
      <c r="A42" s="21"/>
    </row>
    <row r="43" spans="1:8" ht="13.2">
      <c r="A43" s="21"/>
    </row>
    <row r="44" spans="1:8" ht="13.2">
      <c r="A44" s="2"/>
    </row>
    <row r="45" spans="1:8" ht="13.2">
      <c r="A45" s="22" t="s">
        <v>23</v>
      </c>
      <c r="B45" s="22" t="s">
        <v>60</v>
      </c>
      <c r="C45" s="22" t="s">
        <v>61</v>
      </c>
      <c r="D45" s="22" t="s">
        <v>62</v>
      </c>
      <c r="F45" s="23" t="s">
        <v>63</v>
      </c>
      <c r="G45" s="23" t="s">
        <v>49</v>
      </c>
    </row>
    <row r="46" spans="1:8" ht="13.2">
      <c r="A46" s="6" t="s">
        <v>26</v>
      </c>
      <c r="B46" s="24">
        <v>3</v>
      </c>
      <c r="C46" s="4">
        <f ca="1">D10/D19</f>
        <v>0.1092436974789916</v>
      </c>
      <c r="D46" s="4">
        <f>B46/B6</f>
        <v>0.12</v>
      </c>
      <c r="F46" s="2" t="s">
        <v>64</v>
      </c>
      <c r="G46" s="2">
        <v>2</v>
      </c>
    </row>
    <row r="47" spans="1:8" ht="13.2">
      <c r="A47" s="7" t="s">
        <v>27</v>
      </c>
      <c r="B47" s="24">
        <v>2</v>
      </c>
      <c r="C47" s="4">
        <f ca="1">D11/D19</f>
        <v>7.9831932773109238E-2</v>
      </c>
      <c r="D47" s="4">
        <f>B47/B6</f>
        <v>0.08</v>
      </c>
      <c r="F47" s="2"/>
    </row>
    <row r="48" spans="1:8" ht="13.2">
      <c r="A48" s="8" t="s">
        <v>28</v>
      </c>
      <c r="B48" s="24">
        <v>3</v>
      </c>
      <c r="C48" s="4">
        <f ca="1">D12/D19</f>
        <v>0.12184873949579832</v>
      </c>
      <c r="D48" s="4">
        <f>B48/B6</f>
        <v>0.12</v>
      </c>
      <c r="F48" s="25" t="s">
        <v>23</v>
      </c>
      <c r="G48" s="25" t="s">
        <v>49</v>
      </c>
    </row>
    <row r="49" spans="1:7" ht="13.2">
      <c r="A49" s="9" t="s">
        <v>29</v>
      </c>
      <c r="B49" s="24">
        <v>1</v>
      </c>
      <c r="C49" s="4">
        <f ca="1">D13/D19</f>
        <v>3.7815126050420166E-2</v>
      </c>
      <c r="D49" s="4">
        <f>B49/B6</f>
        <v>0.04</v>
      </c>
      <c r="F49" s="2" t="s">
        <v>27</v>
      </c>
      <c r="G49" s="2">
        <v>1</v>
      </c>
    </row>
    <row r="50" spans="1:7" ht="13.2">
      <c r="A50" s="10" t="s">
        <v>30</v>
      </c>
      <c r="B50" s="24">
        <v>3</v>
      </c>
      <c r="C50" s="4">
        <f ca="1">D14/D19</f>
        <v>0.10504201680672269</v>
      </c>
      <c r="D50" s="4">
        <f>B50/B6</f>
        <v>0.12</v>
      </c>
      <c r="F50" s="2" t="s">
        <v>29</v>
      </c>
      <c r="G50" s="2">
        <v>1</v>
      </c>
    </row>
    <row r="51" spans="1:7" ht="13.2">
      <c r="A51" s="11" t="s">
        <v>31</v>
      </c>
      <c r="B51" s="24">
        <v>7</v>
      </c>
      <c r="C51" s="4">
        <f ca="1">D15/D19</f>
        <v>0.28151260504201681</v>
      </c>
      <c r="D51" s="4">
        <f>B51/B6</f>
        <v>0.28000000000000003</v>
      </c>
      <c r="F51" s="2" t="s">
        <v>30</v>
      </c>
      <c r="G51" s="2">
        <v>1</v>
      </c>
    </row>
    <row r="52" spans="1:7" ht="13.2">
      <c r="A52" s="12" t="s">
        <v>32</v>
      </c>
      <c r="B52" s="24">
        <v>5</v>
      </c>
      <c r="C52" s="4">
        <f ca="1">D16/D19</f>
        <v>0.20168067226890757</v>
      </c>
      <c r="D52" s="4">
        <f>B52/B6</f>
        <v>0.2</v>
      </c>
      <c r="F52" s="2" t="s">
        <v>26</v>
      </c>
      <c r="G52" s="2">
        <v>1</v>
      </c>
    </row>
    <row r="53" spans="1:7" ht="13.2">
      <c r="A53" s="13" t="s">
        <v>33</v>
      </c>
      <c r="B53" s="24">
        <v>1</v>
      </c>
      <c r="C53" s="4">
        <f ca="1">D17/D19</f>
        <v>6.3025210084033612E-2</v>
      </c>
      <c r="D53" s="4">
        <f>B53/B6</f>
        <v>0.04</v>
      </c>
      <c r="F53" s="2"/>
      <c r="G53" s="2"/>
    </row>
    <row r="54" spans="1:7" ht="13.2">
      <c r="A54" s="2" t="s">
        <v>21</v>
      </c>
      <c r="B54" s="26">
        <f t="shared" ref="B54:D54" si="20">SUM(B46:B53)</f>
        <v>25</v>
      </c>
      <c r="C54" s="4">
        <f t="shared" ca="1" si="20"/>
        <v>1</v>
      </c>
      <c r="D54" s="4">
        <f t="shared" si="20"/>
        <v>1</v>
      </c>
      <c r="E54" t="str">
        <f>IF(B54 &gt; B6, "ACHTUNG!", " ")</f>
        <v xml:space="preserve"> </v>
      </c>
    </row>
    <row r="56" spans="1:7" ht="13.2">
      <c r="A56" s="25" t="s">
        <v>65</v>
      </c>
      <c r="B56" s="27" t="s">
        <v>60</v>
      </c>
      <c r="C56" s="27" t="s">
        <v>66</v>
      </c>
    </row>
    <row r="57" spans="1:7" ht="13.2">
      <c r="A57" s="2" t="s">
        <v>67</v>
      </c>
      <c r="B57" s="26">
        <f>B50+B52+B47</f>
        <v>10</v>
      </c>
      <c r="C57" t="str">
        <f>IF(B57 &gt; (B6/2), "Ja", "Nee")</f>
        <v>Nee</v>
      </c>
    </row>
    <row r="58" spans="1:7" ht="13.2">
      <c r="A58" s="2" t="s">
        <v>68</v>
      </c>
      <c r="B58" s="26">
        <f>B50+B53+B47+B52</f>
        <v>11</v>
      </c>
      <c r="C58" t="str">
        <f>IF(B58 &gt; (B6/2), "Ja", "Nee")</f>
        <v>Nee</v>
      </c>
    </row>
    <row r="59" spans="1:7" ht="13.2">
      <c r="A59" s="2" t="s">
        <v>69</v>
      </c>
      <c r="B59" s="26">
        <f>B52+B47+B51</f>
        <v>14</v>
      </c>
      <c r="C59" t="str">
        <f>IF(B59 &gt; (B6/2), "Ja", "Nee")</f>
        <v>Ja</v>
      </c>
    </row>
    <row r="60" spans="1:7" ht="13.2">
      <c r="A60" s="2" t="s">
        <v>70</v>
      </c>
      <c r="B60" s="26">
        <f>B52+B47+B51</f>
        <v>14</v>
      </c>
      <c r="C60" t="str">
        <f>IF(B60 &gt; (B6/2), "Ja", "Nee")</f>
        <v>Ja</v>
      </c>
    </row>
    <row r="61" spans="1:7" ht="13.8">
      <c r="A61" s="2" t="s">
        <v>71</v>
      </c>
      <c r="B61" s="28">
        <f>B52+B47+B51+B53</f>
        <v>15</v>
      </c>
      <c r="C61" t="str">
        <f>IF(B61 &gt; (B6/2), "Ja", "Nee")</f>
        <v>Ja</v>
      </c>
    </row>
    <row r="62" spans="1:7" ht="13.2">
      <c r="A62" s="2" t="s">
        <v>72</v>
      </c>
      <c r="B62" s="26">
        <f>B52+B51+B46+B49</f>
        <v>16</v>
      </c>
      <c r="C62" t="str">
        <f>IF(B62 &gt; (B6/2), "Ja", "Nee")</f>
        <v>Ja</v>
      </c>
    </row>
    <row r="63" spans="1:7" ht="13.2">
      <c r="A63" s="2" t="s">
        <v>73</v>
      </c>
      <c r="B63" s="26">
        <f>B47+B46+B51</f>
        <v>12</v>
      </c>
      <c r="C63" t="str">
        <f>IF(B63 &gt; (B6/2), "Ja", "Nee")</f>
        <v>Nee</v>
      </c>
    </row>
    <row r="64" spans="1:7" ht="13.2">
      <c r="A64" s="2" t="s">
        <v>74</v>
      </c>
      <c r="B64" s="26">
        <f>B47+B51+B46+B52</f>
        <v>17</v>
      </c>
      <c r="C64" t="str">
        <f>IF(B64 &gt; (B6/2), "Ja", "Nee")</f>
        <v>Ja</v>
      </c>
    </row>
    <row r="65" spans="1:3" ht="13.8">
      <c r="A65" s="2" t="s">
        <v>75</v>
      </c>
      <c r="B65" s="29">
        <f>B47+B46+B51+B49</f>
        <v>13</v>
      </c>
      <c r="C65" t="str">
        <f>IF(B65 &gt; (B6/2), "Ja", "Nee")</f>
        <v>Ja</v>
      </c>
    </row>
    <row r="66" spans="1:3" ht="13.2">
      <c r="A66" s="2" t="s">
        <v>76</v>
      </c>
      <c r="B66" s="26">
        <f>B51+B46+B49</f>
        <v>11</v>
      </c>
      <c r="C66" t="str">
        <f>IF(B66 &gt; (B6/2), "Ja", "Nee")</f>
        <v>Nee</v>
      </c>
    </row>
    <row r="67" spans="1:3" ht="13.2">
      <c r="A67" s="2" t="s">
        <v>77</v>
      </c>
      <c r="B67" s="26">
        <f>B51+B46+B48</f>
        <v>13</v>
      </c>
      <c r="C67" t="str">
        <f>IF(B67 &gt; (B6/2), "Ja", "Nee")</f>
        <v>Ja</v>
      </c>
    </row>
    <row r="68" spans="1:3" ht="13.2">
      <c r="A68" s="2" t="s">
        <v>78</v>
      </c>
      <c r="B68" s="26">
        <f>B51+B46+B49+B48</f>
        <v>14</v>
      </c>
      <c r="C68" t="str">
        <f>IF(B68 &gt; (B6/2), "Ja", "Nee")</f>
        <v>Ja</v>
      </c>
    </row>
    <row r="69" spans="1:3" ht="13.2">
      <c r="A69" s="2" t="s">
        <v>79</v>
      </c>
      <c r="B69" s="26">
        <f>B46+B49+B48</f>
        <v>7</v>
      </c>
      <c r="C69" t="str">
        <f>IF(B69 &gt; (B6/2), "Ja", "Nee")</f>
        <v>Nee</v>
      </c>
    </row>
  </sheetData>
  <conditionalFormatting sqref="C57:C69">
    <cfRule type="cellIs" dxfId="6" priority="1" operator="equal">
      <formula>"Ja"</formula>
    </cfRule>
  </conditionalFormatting>
  <conditionalFormatting sqref="C57:C69">
    <cfRule type="cellIs" dxfId="5" priority="2" operator="equal">
      <formula>"Nee"</formula>
    </cfRule>
  </conditionalFormatting>
  <conditionalFormatting sqref="D54">
    <cfRule type="cellIs" dxfId="4" priority="3" operator="greaterThan">
      <formula>"100.00%"</formula>
    </cfRule>
  </conditionalFormatting>
  <conditionalFormatting sqref="C3">
    <cfRule type="notContainsBlanks" dxfId="3" priority="4">
      <formula>LEN(TRIM(C3))&gt;0</formula>
    </cfRule>
  </conditionalFormatting>
  <conditionalFormatting sqref="E54">
    <cfRule type="notContainsBlanks" dxfId="2" priority="5">
      <formula>LEN(TRIM(E54))&gt;0</formula>
    </cfRule>
  </conditionalFormatting>
  <hyperlinks>
    <hyperlink ref="C33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66"/>
  <sheetViews>
    <sheetView tabSelected="1" workbookViewId="0"/>
  </sheetViews>
  <sheetFormatPr defaultColWidth="14.44140625" defaultRowHeight="15.75" customHeight="1"/>
  <sheetData>
    <row r="1" spans="1:16" ht="15.75" customHeight="1">
      <c r="A1" s="1" t="s">
        <v>1</v>
      </c>
      <c r="B1" s="2">
        <f ca="1">B19</f>
        <v>284</v>
      </c>
    </row>
    <row r="2" spans="1:16" ht="15.75" customHeight="1">
      <c r="A2" s="1" t="s">
        <v>35</v>
      </c>
      <c r="B2">
        <f ca="1">C19</f>
        <v>46</v>
      </c>
      <c r="N2" s="30"/>
      <c r="O2" s="30"/>
      <c r="P2" s="30"/>
    </row>
    <row r="3" spans="1:16" ht="15.75" customHeight="1">
      <c r="A3" s="1" t="s">
        <v>36</v>
      </c>
      <c r="B3">
        <f ca="1">IFERROR(__xludf.DUMMYFUNCTION("importRange(""https://docs.google.com/spreadsheets/d/1-ILtASPuGeesucImDBMpKTO9hI3xNb9k967XeTE18eI/edit?usp=sharing"",""H10"")"),46)</f>
        <v>46</v>
      </c>
      <c r="C3" s="15" t="str">
        <f ca="1">IF(B2 &gt; B3, "ACHTUNG!", " ")</f>
        <v xml:space="preserve"> </v>
      </c>
      <c r="N3" s="30"/>
      <c r="O3" s="30"/>
      <c r="P3" s="30"/>
    </row>
    <row r="4" spans="1:16" ht="15.75" customHeight="1">
      <c r="A4" s="1" t="s">
        <v>37</v>
      </c>
      <c r="B4">
        <f ca="1">D19</f>
        <v>238</v>
      </c>
      <c r="N4" s="30"/>
      <c r="O4" s="30"/>
      <c r="P4" s="30"/>
    </row>
    <row r="5" spans="1:16" ht="15.75" customHeight="1">
      <c r="A5" s="1" t="s">
        <v>38</v>
      </c>
      <c r="B5">
        <f ca="1">D19-D18</f>
        <v>238</v>
      </c>
      <c r="N5" s="30"/>
      <c r="O5" s="30"/>
      <c r="P5" s="30"/>
    </row>
    <row r="6" spans="1:16" ht="15.75" customHeight="1">
      <c r="A6" s="1" t="s">
        <v>39</v>
      </c>
      <c r="B6" s="2">
        <v>25</v>
      </c>
      <c r="N6" s="30"/>
      <c r="O6" s="30"/>
      <c r="P6" s="30"/>
    </row>
    <row r="7" spans="1:16" ht="15.75" customHeight="1">
      <c r="A7" s="1" t="s">
        <v>40</v>
      </c>
      <c r="B7">
        <f ca="1">B5/B6</f>
        <v>9.52</v>
      </c>
      <c r="N7" s="30"/>
      <c r="O7" s="30"/>
      <c r="P7" s="30"/>
    </row>
    <row r="8" spans="1:16" ht="15.75" customHeight="1">
      <c r="N8" s="30"/>
      <c r="O8" s="30"/>
      <c r="P8" s="30"/>
    </row>
    <row r="9" spans="1:16" ht="15.75" customHeight="1">
      <c r="A9" s="1" t="s">
        <v>41</v>
      </c>
      <c r="B9" s="1" t="s">
        <v>42</v>
      </c>
      <c r="C9" s="1" t="s">
        <v>35</v>
      </c>
      <c r="D9" s="1" t="s">
        <v>43</v>
      </c>
      <c r="E9" s="1" t="s">
        <v>44</v>
      </c>
      <c r="F9" s="1" t="s">
        <v>45</v>
      </c>
      <c r="G9" s="1" t="s">
        <v>46</v>
      </c>
      <c r="N9" s="30"/>
      <c r="O9" s="31"/>
      <c r="P9" s="32"/>
    </row>
    <row r="10" spans="1:16" ht="15.75" customHeight="1">
      <c r="A10" s="6" t="s">
        <v>26</v>
      </c>
      <c r="B10" s="2">
        <f ca="1">IFERROR(__xludf.DUMMYFUNCTION("importRange(""https://docs.google.com/spreadsheets/d/1wJ_EGfyF3MOdLcWZ42XWyb1msf-wcMLcijflHOsFOuM/edit?usp=sharing"",""B4"")"),28)</f>
        <v>28</v>
      </c>
      <c r="C10" s="2">
        <f ca="1">IFERROR(__xludf.DUMMYFUNCTION("importRange(""https://docs.google.com/spreadsheets/d/1-ILtASPuGeesucImDBMpKTO9hI3xNb9k967XeTE18eI/edit?usp=sharing"",""H2"")"),2)</f>
        <v>2</v>
      </c>
      <c r="D10">
        <f t="shared" ref="D10:D18" ca="1" si="0">B10-C10</f>
        <v>26</v>
      </c>
      <c r="E10" s="2">
        <f ca="1">D10/B7</f>
        <v>2.73109243697479</v>
      </c>
      <c r="F10" s="2">
        <v>2</v>
      </c>
      <c r="G10" s="4">
        <f t="shared" ref="G10:G17" ca="1" si="1">C10/B10</f>
        <v>7.1428571428571425E-2</v>
      </c>
      <c r="K10" s="6" t="s">
        <v>26</v>
      </c>
      <c r="L10" s="2">
        <v>3</v>
      </c>
      <c r="N10" s="30"/>
      <c r="O10" s="31"/>
      <c r="P10" s="32"/>
    </row>
    <row r="11" spans="1:16" ht="15.75" customHeight="1">
      <c r="A11" s="7" t="s">
        <v>27</v>
      </c>
      <c r="B11" s="2">
        <f ca="1">IFERROR(__xludf.DUMMYFUNCTION("importRange(""https://docs.google.com/spreadsheets/d/1wJ_EGfyF3MOdLcWZ42XWyb1msf-wcMLcijflHOsFOuM/edit?usp=sharing"",""B5"")"),19)</f>
        <v>19</v>
      </c>
      <c r="C11" s="2">
        <f ca="1">IFERROR(__xludf.DUMMYFUNCTION("importRange(""https://docs.google.com/spreadsheets/d/1-ILtASPuGeesucImDBMpKTO9hI3xNb9k967XeTE18eI/edit?usp=sharing"",""H3"")"),0)</f>
        <v>0</v>
      </c>
      <c r="D11">
        <f t="shared" ca="1" si="0"/>
        <v>19</v>
      </c>
      <c r="E11" s="2">
        <f ca="1">D11/B7</f>
        <v>1.9957983193277311</v>
      </c>
      <c r="F11" s="2">
        <v>1</v>
      </c>
      <c r="G11" s="4">
        <f t="shared" ca="1" si="1"/>
        <v>0</v>
      </c>
      <c r="K11" s="7" t="s">
        <v>27</v>
      </c>
      <c r="L11" s="2">
        <v>2</v>
      </c>
      <c r="N11" s="30"/>
      <c r="O11" s="31"/>
      <c r="P11" s="32"/>
    </row>
    <row r="12" spans="1:16" ht="15.75" customHeight="1">
      <c r="A12" s="8" t="s">
        <v>28</v>
      </c>
      <c r="B12" s="2">
        <f ca="1">IFERROR(__xludf.DUMMYFUNCTION("importRange(""https://docs.google.com/spreadsheets/d/1wJ_EGfyF3MOdLcWZ42XWyb1msf-wcMLcijflHOsFOuM/edit?usp=sharing"",""B8"")"),48)</f>
        <v>48</v>
      </c>
      <c r="C12" s="2">
        <f ca="1">IFERROR(__xludf.DUMMYFUNCTION("importRange(""https://docs.google.com/spreadsheets/d/1-ILtASPuGeesucImDBMpKTO9hI3xNb9k967XeTE18eI/edit?usp=sharing"",""H4"")"),19)</f>
        <v>19</v>
      </c>
      <c r="D12">
        <f t="shared" ca="1" si="0"/>
        <v>29</v>
      </c>
      <c r="E12" s="2">
        <f ca="1">D12/B7</f>
        <v>3.0462184873949583</v>
      </c>
      <c r="F12" s="2">
        <v>3</v>
      </c>
      <c r="G12" s="4">
        <f t="shared" ca="1" si="1"/>
        <v>0.39583333333333331</v>
      </c>
      <c r="K12" s="8" t="s">
        <v>28</v>
      </c>
      <c r="L12" s="2">
        <v>3</v>
      </c>
      <c r="N12" s="30"/>
      <c r="O12" s="31"/>
      <c r="P12" s="32"/>
    </row>
    <row r="13" spans="1:16" ht="15.75" customHeight="1">
      <c r="A13" s="9" t="s">
        <v>29</v>
      </c>
      <c r="B13" s="2">
        <f ca="1">IFERROR(__xludf.DUMMYFUNCTION("importRange(""https://docs.google.com/spreadsheets/d/1wJ_EGfyF3MOdLcWZ42XWyb1msf-wcMLcijflHOsFOuM/edit?usp=sharing"",""B7"")"),10)</f>
        <v>10</v>
      </c>
      <c r="C13" s="2">
        <f ca="1">IFERROR(__xludf.DUMMYFUNCTION("importRange(""https://docs.google.com/spreadsheets/d/1-ILtASPuGeesucImDBMpKTO9hI3xNb9k967XeTE18eI/edit?usp=sharing"",""H5"")"),1)</f>
        <v>1</v>
      </c>
      <c r="D13" s="2">
        <f t="shared" ca="1" si="0"/>
        <v>9</v>
      </c>
      <c r="E13" s="2">
        <f ca="1">D13/B7</f>
        <v>0.94537815126050428</v>
      </c>
      <c r="F13" s="2">
        <v>0</v>
      </c>
      <c r="G13" s="4">
        <f t="shared" ca="1" si="1"/>
        <v>0.1</v>
      </c>
      <c r="K13" s="9" t="s">
        <v>29</v>
      </c>
      <c r="L13" s="2">
        <v>0</v>
      </c>
      <c r="N13" s="30"/>
      <c r="O13" s="31"/>
      <c r="P13" s="32"/>
    </row>
    <row r="14" spans="1:16" ht="15.75" customHeight="1">
      <c r="A14" s="10" t="s">
        <v>30</v>
      </c>
      <c r="B14" s="2">
        <f ca="1">IFERROR(__xludf.DUMMYFUNCTION("importRange(""https://docs.google.com/spreadsheets/d/1wJ_EGfyF3MOdLcWZ42XWyb1msf-wcMLcijflHOsFOuM/edit?usp=sharing"",""B6"")"),25)</f>
        <v>25</v>
      </c>
      <c r="C14" s="2">
        <f ca="1">IFERROR(__xludf.DUMMYFUNCTION("importRange(""https://docs.google.com/spreadsheets/d/1-ILtASPuGeesucImDBMpKTO9hI3xNb9k967XeTE18eI/edit?usp=sharing"",""H6"")"),0)</f>
        <v>0</v>
      </c>
      <c r="D14">
        <f t="shared" ca="1" si="0"/>
        <v>25</v>
      </c>
      <c r="E14" s="2">
        <f ca="1">D14/B7</f>
        <v>2.6260504201680672</v>
      </c>
      <c r="F14" s="2">
        <v>2</v>
      </c>
      <c r="G14" s="4">
        <f t="shared" ca="1" si="1"/>
        <v>0</v>
      </c>
      <c r="K14" s="10" t="s">
        <v>30</v>
      </c>
      <c r="L14" s="2">
        <v>3</v>
      </c>
      <c r="N14" s="30"/>
      <c r="O14" s="31"/>
      <c r="P14" s="32"/>
    </row>
    <row r="15" spans="1:16" ht="15.75" customHeight="1">
      <c r="A15" s="11" t="s">
        <v>31</v>
      </c>
      <c r="B15" s="2">
        <f ca="1">IFERROR(__xludf.DUMMYFUNCTION("importRange(""https://docs.google.com/spreadsheets/d/1wJ_EGfyF3MOdLcWZ42XWyb1msf-wcMLcijflHOsFOuM/edit?usp=sharing"",""B2"")"),80)</f>
        <v>80</v>
      </c>
      <c r="C15" s="2">
        <f ca="1">IFERROR(__xludf.DUMMYFUNCTION("importRange(""https://docs.google.com/spreadsheets/d/1-ILtASPuGeesucImDBMpKTO9hI3xNb9k967XeTE18eI/edit?usp=sharing"",""H7"")"),13)</f>
        <v>13</v>
      </c>
      <c r="D15">
        <f t="shared" ca="1" si="0"/>
        <v>67</v>
      </c>
      <c r="E15" s="2">
        <f ca="1">D15/B7</f>
        <v>7.0378151260504209</v>
      </c>
      <c r="F15" s="2">
        <v>7</v>
      </c>
      <c r="G15" s="4">
        <f t="shared" ca="1" si="1"/>
        <v>0.16250000000000001</v>
      </c>
      <c r="K15" s="11" t="s">
        <v>31</v>
      </c>
      <c r="L15" s="2">
        <v>7</v>
      </c>
      <c r="N15" s="30"/>
      <c r="O15" s="31"/>
      <c r="P15" s="32"/>
    </row>
    <row r="16" spans="1:16" ht="15.75" customHeight="1">
      <c r="A16" s="12" t="s">
        <v>32</v>
      </c>
      <c r="B16" s="2">
        <f ca="1">IFERROR(__xludf.DUMMYFUNCTION("importRange(""https://docs.google.com/spreadsheets/d/1wJ_EGfyF3MOdLcWZ42XWyb1msf-wcMLcijflHOsFOuM/edit?usp=sharing"",""B3"")"),57)</f>
        <v>57</v>
      </c>
      <c r="C16" s="2">
        <f ca="1">IFERROR(__xludf.DUMMYFUNCTION("importRange(""https://docs.google.com/spreadsheets/d/1-ILtASPuGeesucImDBMpKTO9hI3xNb9k967XeTE18eI/edit?usp=sharing"",""H8"")"),9)</f>
        <v>9</v>
      </c>
      <c r="D16" s="2">
        <f t="shared" ca="1" si="0"/>
        <v>48</v>
      </c>
      <c r="E16">
        <f ca="1">D16/B7</f>
        <v>5.0420168067226889</v>
      </c>
      <c r="F16" s="2">
        <v>5</v>
      </c>
      <c r="G16" s="4">
        <f t="shared" ca="1" si="1"/>
        <v>0.15789473684210525</v>
      </c>
      <c r="K16" s="12" t="s">
        <v>32</v>
      </c>
      <c r="L16" s="2">
        <v>5</v>
      </c>
      <c r="N16" s="30"/>
      <c r="O16" s="31"/>
      <c r="P16" s="32"/>
    </row>
    <row r="17" spans="1:29" ht="15.75" customHeight="1">
      <c r="A17" s="13" t="s">
        <v>33</v>
      </c>
      <c r="B17" s="2">
        <f ca="1">IFERROR(__xludf.DUMMYFUNCTION("importRange(""https://docs.google.com/spreadsheets/d/1wJ_EGfyF3MOdLcWZ42XWyb1msf-wcMLcijflHOsFOuM/edit?usp=sharing"",""B9"")"),17)</f>
        <v>17</v>
      </c>
      <c r="C17" s="2">
        <f ca="1">IFERROR(__xludf.DUMMYFUNCTION("importRange(""https://docs.google.com/spreadsheets/d/1-ILtASPuGeesucImDBMpKTO9hI3xNb9k967XeTE18eI/edit?usp=sharing"",""H9"")"),2)</f>
        <v>2</v>
      </c>
      <c r="D17">
        <f t="shared" ca="1" si="0"/>
        <v>15</v>
      </c>
      <c r="E17">
        <f ca="1">D17/B7</f>
        <v>1.5756302521008405</v>
      </c>
      <c r="F17" s="2">
        <v>1</v>
      </c>
      <c r="G17" s="4">
        <f t="shared" ca="1" si="1"/>
        <v>0.11764705882352941</v>
      </c>
      <c r="K17" s="13" t="s">
        <v>33</v>
      </c>
      <c r="L17" s="2">
        <v>2</v>
      </c>
      <c r="N17" s="30"/>
      <c r="O17" s="30"/>
      <c r="P17" s="32"/>
    </row>
    <row r="18" spans="1:29" ht="15.75" customHeight="1">
      <c r="A18" s="2" t="s">
        <v>47</v>
      </c>
      <c r="B18" s="2">
        <v>0</v>
      </c>
      <c r="C18" s="2">
        <v>0</v>
      </c>
      <c r="D18">
        <f t="shared" si="0"/>
        <v>0</v>
      </c>
      <c r="E18" s="2">
        <v>0</v>
      </c>
      <c r="F18" s="2">
        <v>0</v>
      </c>
      <c r="G18" s="3">
        <v>0</v>
      </c>
      <c r="L18">
        <f>SUM(L10:L17)</f>
        <v>25</v>
      </c>
      <c r="N18" s="30"/>
      <c r="O18" s="30"/>
      <c r="P18" s="30"/>
    </row>
    <row r="19" spans="1:29" ht="15.75" customHeight="1">
      <c r="A19" s="2" t="s">
        <v>1</v>
      </c>
      <c r="B19">
        <f ca="1">SUM(B10:B18)</f>
        <v>284</v>
      </c>
      <c r="C19" s="2">
        <f ca="1">IFERROR(__xludf.DUMMYFUNCTION("importRange(""https://docs.google.com/spreadsheets/d/1wJ_EGfyF3MOdLcWZ42XWyb1msf-wcMLcijflHOsFOuM/edit?usp=sharing"",""H2"")"),46)</f>
        <v>46</v>
      </c>
      <c r="D19">
        <f ca="1">SUM(D10:D18)</f>
        <v>238</v>
      </c>
      <c r="G19" s="4">
        <f ca="1">C19/B19</f>
        <v>0.1619718309859155</v>
      </c>
      <c r="N19" s="30"/>
      <c r="O19" s="30"/>
      <c r="P19" s="30"/>
    </row>
    <row r="20" spans="1:29" ht="15.75" customHeight="1">
      <c r="E20" s="1" t="s">
        <v>48</v>
      </c>
      <c r="F20">
        <f>SUM(F10:F17)</f>
        <v>21</v>
      </c>
      <c r="N20" s="30"/>
      <c r="O20" s="30"/>
      <c r="P20" s="30"/>
    </row>
    <row r="21" spans="1:29" ht="15.75" customHeight="1">
      <c r="C21" s="33"/>
      <c r="D21" s="33"/>
      <c r="E21" s="34" t="s">
        <v>49</v>
      </c>
      <c r="F21" s="33">
        <f>B6-F20</f>
        <v>4</v>
      </c>
      <c r="N21" s="30"/>
      <c r="O21" s="30"/>
      <c r="P21" s="30"/>
    </row>
    <row r="22" spans="1:29" ht="15.75" customHeight="1">
      <c r="N22" s="30"/>
      <c r="O22" s="30"/>
      <c r="P22" s="30"/>
    </row>
    <row r="23" spans="1:29" ht="15.75" customHeight="1">
      <c r="A23" s="35"/>
      <c r="B23" s="36" t="s">
        <v>80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spans="1:29" ht="15.75" customHeight="1">
      <c r="A24">
        <f>F21</f>
        <v>4</v>
      </c>
      <c r="B24" s="2" t="s">
        <v>81</v>
      </c>
      <c r="C24" s="34"/>
      <c r="D24" s="34"/>
      <c r="F24">
        <f>A24-1</f>
        <v>3</v>
      </c>
      <c r="G24" s="2" t="s">
        <v>81</v>
      </c>
      <c r="H24" s="34"/>
      <c r="K24">
        <f>F24-1</f>
        <v>2</v>
      </c>
      <c r="L24" s="2" t="s">
        <v>81</v>
      </c>
      <c r="M24" s="34"/>
      <c r="P24">
        <f>K24-1</f>
        <v>1</v>
      </c>
      <c r="Q24" s="2" t="s">
        <v>81</v>
      </c>
      <c r="R24" s="34"/>
      <c r="U24">
        <f>P24-1</f>
        <v>0</v>
      </c>
      <c r="V24" s="2" t="s">
        <v>81</v>
      </c>
      <c r="W24" s="34"/>
      <c r="Z24">
        <f>U24-1</f>
        <v>-1</v>
      </c>
      <c r="AA24" s="2" t="s">
        <v>81</v>
      </c>
      <c r="AB24" s="34"/>
    </row>
    <row r="25" spans="1:29" ht="15.75" customHeight="1">
      <c r="B25" s="2" t="s">
        <v>82</v>
      </c>
      <c r="C25" s="2" t="s">
        <v>83</v>
      </c>
      <c r="D25" s="2" t="s">
        <v>84</v>
      </c>
      <c r="G25" s="2" t="s">
        <v>82</v>
      </c>
      <c r="H25" s="2" t="s">
        <v>83</v>
      </c>
      <c r="L25" s="2" t="s">
        <v>82</v>
      </c>
      <c r="M25" s="2" t="s">
        <v>83</v>
      </c>
      <c r="Q25" s="2" t="s">
        <v>82</v>
      </c>
      <c r="R25" s="2" t="s">
        <v>83</v>
      </c>
      <c r="V25" s="2" t="s">
        <v>82</v>
      </c>
      <c r="W25" s="2" t="s">
        <v>83</v>
      </c>
      <c r="AA25" s="2" t="s">
        <v>82</v>
      </c>
      <c r="AB25" s="2" t="s">
        <v>83</v>
      </c>
    </row>
    <row r="26" spans="1:29" ht="15.75" customHeight="1">
      <c r="A26" s="6" t="s">
        <v>26</v>
      </c>
      <c r="B26">
        <f t="shared" ref="B26:B33" ca="1" si="2">$D10 - ($B$7*$F10)</f>
        <v>6.9600000000000009</v>
      </c>
      <c r="C26" t="str">
        <f t="shared" ref="C26:C33" ca="1" si="3">IF(B26=B$34, A26, "")</f>
        <v/>
      </c>
      <c r="D26" s="2">
        <f t="shared" ref="D26:D33" ca="1" si="4">IF(C26=A26, $B$7, 0)</f>
        <v>0</v>
      </c>
      <c r="F26" s="6" t="s">
        <v>26</v>
      </c>
      <c r="G26">
        <f t="shared" ref="G26:G33" ca="1" si="5">$D10 - ($B$7*$F10) -D26</f>
        <v>6.9600000000000009</v>
      </c>
      <c r="H26" t="str">
        <f t="shared" ref="H26:H33" ca="1" si="6">IF(G26=G$34, F26, "")</f>
        <v/>
      </c>
      <c r="I26" s="2">
        <f t="shared" ref="I26:I33" ca="1" si="7">IF(H26=F26, $B$7, 0) + D26</f>
        <v>0</v>
      </c>
      <c r="K26" s="6" t="s">
        <v>26</v>
      </c>
      <c r="L26">
        <f t="shared" ref="L26:L27" ca="1" si="8">$D10 - ($B$7*$F10) -I26</f>
        <v>6.9600000000000009</v>
      </c>
      <c r="M26" t="str">
        <f ca="1">IF(L26=L$34, K26, "")</f>
        <v>VVD</v>
      </c>
      <c r="N26" s="2">
        <f t="shared" ref="N26:N33" ca="1" si="9">IF(M26=K26, $B$7, 0) + I26</f>
        <v>9.52</v>
      </c>
      <c r="P26" s="6" t="s">
        <v>26</v>
      </c>
      <c r="Q26">
        <f t="shared" ref="Q26:Q27" ca="1" si="10">$D10 - ($B$7*$F10) -N26</f>
        <v>-2.5599999999999987</v>
      </c>
      <c r="R26" t="str">
        <f ca="1">IF(Q26=Q$34, P26, "")</f>
        <v/>
      </c>
      <c r="S26" s="2">
        <f t="shared" ref="S26:S33" ca="1" si="11">IF(R26=P26, $B$7, 0) + N26</f>
        <v>9.52</v>
      </c>
      <c r="U26" s="6" t="s">
        <v>26</v>
      </c>
      <c r="V26">
        <f t="shared" ref="V26:V27" ca="1" si="12">$D10 - ($B$7*$F10) -S26</f>
        <v>-2.5599999999999987</v>
      </c>
      <c r="W26" t="str">
        <f ca="1">IF(V26=V$34, U26, "")</f>
        <v/>
      </c>
      <c r="X26" s="2">
        <f t="shared" ref="X26:X33" ca="1" si="13">IF(W26=U26, $B$7, 0) + S26</f>
        <v>9.52</v>
      </c>
      <c r="Z26" s="6" t="s">
        <v>26</v>
      </c>
      <c r="AA26">
        <f t="shared" ref="AA26:AA27" ca="1" si="14">$D10 - ($B$7*$F10) -X26</f>
        <v>-2.5599999999999987</v>
      </c>
      <c r="AB26" t="str">
        <f ca="1">IF(AA26=AA$34, Z26, "")</f>
        <v/>
      </c>
      <c r="AC26" s="2">
        <f t="shared" ref="AC26:AC33" ca="1" si="15">IF(AB26=Z26, $B$7, 0) + X26</f>
        <v>9.52</v>
      </c>
    </row>
    <row r="27" spans="1:29" ht="15.75" customHeight="1">
      <c r="A27" s="7" t="s">
        <v>27</v>
      </c>
      <c r="B27">
        <f t="shared" ca="1" si="2"/>
        <v>9.48</v>
      </c>
      <c r="C27" t="str">
        <f t="shared" ca="1" si="3"/>
        <v>PPvdA</v>
      </c>
      <c r="D27" s="2">
        <f t="shared" ca="1" si="4"/>
        <v>9.52</v>
      </c>
      <c r="F27" s="7" t="s">
        <v>27</v>
      </c>
      <c r="G27">
        <f t="shared" ca="1" si="5"/>
        <v>-3.9999999999999147E-2</v>
      </c>
      <c r="H27" t="str">
        <f t="shared" ca="1" si="6"/>
        <v/>
      </c>
      <c r="I27" s="2">
        <f t="shared" ca="1" si="7"/>
        <v>9.52</v>
      </c>
      <c r="K27" s="7" t="s">
        <v>27</v>
      </c>
      <c r="L27">
        <f t="shared" ca="1" si="8"/>
        <v>-3.9999999999999147E-2</v>
      </c>
      <c r="N27" s="2">
        <f t="shared" ca="1" si="9"/>
        <v>9.52</v>
      </c>
      <c r="P27" s="7" t="s">
        <v>27</v>
      </c>
      <c r="Q27">
        <f t="shared" ca="1" si="10"/>
        <v>-3.9999999999999147E-2</v>
      </c>
      <c r="S27" s="2">
        <f t="shared" ca="1" si="11"/>
        <v>9.52</v>
      </c>
      <c r="U27" s="7" t="s">
        <v>27</v>
      </c>
      <c r="V27">
        <f t="shared" ca="1" si="12"/>
        <v>-3.9999999999999147E-2</v>
      </c>
      <c r="X27" s="2">
        <f t="shared" ca="1" si="13"/>
        <v>9.52</v>
      </c>
      <c r="Z27" s="7" t="s">
        <v>27</v>
      </c>
      <c r="AA27">
        <f t="shared" ca="1" si="14"/>
        <v>-3.9999999999999147E-2</v>
      </c>
      <c r="AC27" s="2">
        <f t="shared" ca="1" si="15"/>
        <v>9.52</v>
      </c>
    </row>
    <row r="28" spans="1:29" ht="13.2">
      <c r="A28" s="8" t="s">
        <v>28</v>
      </c>
      <c r="B28">
        <f t="shared" ca="1" si="2"/>
        <v>0.44000000000000128</v>
      </c>
      <c r="C28" t="str">
        <f t="shared" ca="1" si="3"/>
        <v/>
      </c>
      <c r="D28" s="2">
        <f t="shared" ca="1" si="4"/>
        <v>0</v>
      </c>
      <c r="F28" s="8" t="s">
        <v>28</v>
      </c>
      <c r="G28">
        <f t="shared" ca="1" si="5"/>
        <v>0.44000000000000128</v>
      </c>
      <c r="H28" t="str">
        <f t="shared" ca="1" si="6"/>
        <v/>
      </c>
      <c r="I28" s="2">
        <f t="shared" ca="1" si="7"/>
        <v>0</v>
      </c>
      <c r="K28" s="8" t="s">
        <v>28</v>
      </c>
      <c r="L28">
        <f ca="1">$D12 - ($B$7*$F12) - I28</f>
        <v>0.44000000000000128</v>
      </c>
      <c r="N28" s="2">
        <f t="shared" ca="1" si="9"/>
        <v>0</v>
      </c>
      <c r="P28" s="8" t="s">
        <v>28</v>
      </c>
      <c r="Q28">
        <f ca="1">$D12 - ($B$7*$F12) - N28</f>
        <v>0.44000000000000128</v>
      </c>
      <c r="S28" s="2">
        <f t="shared" ca="1" si="11"/>
        <v>0</v>
      </c>
      <c r="U28" s="8" t="s">
        <v>28</v>
      </c>
      <c r="V28">
        <f ca="1">$D12 - ($B$7*$F12) - S28</f>
        <v>0.44000000000000128</v>
      </c>
      <c r="X28" s="2">
        <f t="shared" ca="1" si="13"/>
        <v>0</v>
      </c>
      <c r="Z28" s="8" t="s">
        <v>28</v>
      </c>
      <c r="AA28">
        <f ca="1">$D12 - ($B$7*$F12) - X28</f>
        <v>0.44000000000000128</v>
      </c>
      <c r="AC28" s="2">
        <f t="shared" ca="1" si="15"/>
        <v>0</v>
      </c>
    </row>
    <row r="29" spans="1:29" ht="13.2">
      <c r="A29" s="9" t="s">
        <v>29</v>
      </c>
      <c r="B29">
        <f t="shared" ca="1" si="2"/>
        <v>9</v>
      </c>
      <c r="C29" t="str">
        <f t="shared" ca="1" si="3"/>
        <v/>
      </c>
      <c r="D29" s="2">
        <f t="shared" ca="1" si="4"/>
        <v>0</v>
      </c>
      <c r="F29" s="9" t="s">
        <v>29</v>
      </c>
      <c r="G29">
        <f t="shared" ca="1" si="5"/>
        <v>9</v>
      </c>
      <c r="H29" t="str">
        <f t="shared" ca="1" si="6"/>
        <v>CDA</v>
      </c>
      <c r="I29" s="2">
        <f t="shared" ca="1" si="7"/>
        <v>9.52</v>
      </c>
      <c r="K29" s="9" t="s">
        <v>29</v>
      </c>
      <c r="L29">
        <f ca="1">$D10 - ($B$7*$F10) -I29</f>
        <v>-2.5599999999999987</v>
      </c>
      <c r="M29" t="str">
        <f t="shared" ref="M29:M33" ca="1" si="16">IF(L29=L$34, K29, "")</f>
        <v/>
      </c>
      <c r="N29" s="2">
        <f t="shared" ca="1" si="9"/>
        <v>9.52</v>
      </c>
      <c r="P29" s="9" t="s">
        <v>29</v>
      </c>
      <c r="Q29">
        <f ca="1">$D10 - ($B$7*$F10) -N29</f>
        <v>-2.5599999999999987</v>
      </c>
      <c r="R29" t="str">
        <f t="shared" ref="R29:R33" ca="1" si="17">IF(Q29=Q$34, P29, "")</f>
        <v/>
      </c>
      <c r="S29" s="2">
        <f t="shared" ca="1" si="11"/>
        <v>9.52</v>
      </c>
      <c r="U29" s="9" t="s">
        <v>29</v>
      </c>
      <c r="V29">
        <f ca="1">$D10 - ($B$7*$F10) -S29</f>
        <v>-2.5599999999999987</v>
      </c>
      <c r="W29" t="str">
        <f t="shared" ref="W29:W33" ca="1" si="18">IF(V29=V$34, U29, "")</f>
        <v/>
      </c>
      <c r="X29" s="2">
        <f t="shared" ca="1" si="13"/>
        <v>9.52</v>
      </c>
      <c r="Z29" s="9" t="s">
        <v>29</v>
      </c>
      <c r="AA29">
        <f ca="1">$D10 - ($B$7*$F10) -X29</f>
        <v>-2.5599999999999987</v>
      </c>
      <c r="AB29" t="str">
        <f t="shared" ref="AB29:AB33" ca="1" si="19">IF(AA29=AA$34, Z29, "")</f>
        <v/>
      </c>
      <c r="AC29" s="2">
        <f t="shared" ca="1" si="15"/>
        <v>9.52</v>
      </c>
    </row>
    <row r="30" spans="1:29" ht="13.2">
      <c r="A30" s="10" t="s">
        <v>30</v>
      </c>
      <c r="B30">
        <f t="shared" ca="1" si="2"/>
        <v>5.9600000000000009</v>
      </c>
      <c r="C30" t="str">
        <f t="shared" ca="1" si="3"/>
        <v/>
      </c>
      <c r="D30" s="2">
        <f t="shared" ca="1" si="4"/>
        <v>0</v>
      </c>
      <c r="F30" s="10" t="s">
        <v>30</v>
      </c>
      <c r="G30">
        <f t="shared" ca="1" si="5"/>
        <v>5.9600000000000009</v>
      </c>
      <c r="H30" t="str">
        <f t="shared" ca="1" si="6"/>
        <v/>
      </c>
      <c r="I30" s="2">
        <f t="shared" ca="1" si="7"/>
        <v>0</v>
      </c>
      <c r="K30" s="10" t="s">
        <v>30</v>
      </c>
      <c r="L30">
        <f t="shared" ref="L30:L32" ca="1" si="20">$D14 - ($B$7*$F14) - I30</f>
        <v>5.9600000000000009</v>
      </c>
      <c r="M30" t="str">
        <f t="shared" ca="1" si="16"/>
        <v/>
      </c>
      <c r="N30" s="2">
        <f t="shared" ca="1" si="9"/>
        <v>0</v>
      </c>
      <c r="P30" s="10" t="s">
        <v>30</v>
      </c>
      <c r="Q30">
        <f t="shared" ref="Q30:Q32" ca="1" si="21">$D14 - ($B$7*$F14) - N30</f>
        <v>5.9600000000000009</v>
      </c>
      <c r="R30" t="str">
        <f t="shared" ca="1" si="17"/>
        <v>MPN</v>
      </c>
      <c r="S30" s="2">
        <f t="shared" ca="1" si="11"/>
        <v>9.52</v>
      </c>
      <c r="U30" s="10" t="s">
        <v>30</v>
      </c>
      <c r="V30">
        <f t="shared" ref="V30:V33" ca="1" si="22">$D14 - ($B$7*$F14) - S30</f>
        <v>-3.5599999999999987</v>
      </c>
      <c r="W30" t="str">
        <f t="shared" ca="1" si="18"/>
        <v/>
      </c>
      <c r="X30" s="2">
        <f t="shared" ca="1" si="13"/>
        <v>9.52</v>
      </c>
      <c r="Z30" s="10" t="s">
        <v>30</v>
      </c>
      <c r="AA30">
        <f t="shared" ref="AA30:AA33" ca="1" si="23">$D14 - ($B$7*$F14) - X30</f>
        <v>-3.5599999999999987</v>
      </c>
      <c r="AB30" t="str">
        <f t="shared" ca="1" si="19"/>
        <v/>
      </c>
      <c r="AC30" s="2">
        <f t="shared" ca="1" si="15"/>
        <v>9.52</v>
      </c>
    </row>
    <row r="31" spans="1:29" ht="13.2">
      <c r="A31" s="11" t="s">
        <v>31</v>
      </c>
      <c r="B31">
        <f t="shared" ca="1" si="2"/>
        <v>0.35999999999999943</v>
      </c>
      <c r="C31" t="str">
        <f t="shared" ca="1" si="3"/>
        <v/>
      </c>
      <c r="D31" s="2">
        <f t="shared" ca="1" si="4"/>
        <v>0</v>
      </c>
      <c r="F31" s="11" t="s">
        <v>31</v>
      </c>
      <c r="G31">
        <f t="shared" ca="1" si="5"/>
        <v>0.35999999999999943</v>
      </c>
      <c r="H31" t="str">
        <f t="shared" ca="1" si="6"/>
        <v/>
      </c>
      <c r="I31" s="2">
        <f t="shared" ca="1" si="7"/>
        <v>0</v>
      </c>
      <c r="K31" s="11" t="s">
        <v>31</v>
      </c>
      <c r="L31">
        <f t="shared" ca="1" si="20"/>
        <v>0.35999999999999943</v>
      </c>
      <c r="M31" t="str">
        <f t="shared" ca="1" si="16"/>
        <v/>
      </c>
      <c r="N31" s="2">
        <f t="shared" ca="1" si="9"/>
        <v>0</v>
      </c>
      <c r="P31" s="11" t="s">
        <v>31</v>
      </c>
      <c r="Q31">
        <f t="shared" ca="1" si="21"/>
        <v>0.35999999999999943</v>
      </c>
      <c r="R31" t="str">
        <f t="shared" ca="1" si="17"/>
        <v/>
      </c>
      <c r="S31" s="2">
        <f t="shared" ca="1" si="11"/>
        <v>0</v>
      </c>
      <c r="U31" s="11" t="s">
        <v>31</v>
      </c>
      <c r="V31">
        <f t="shared" ca="1" si="22"/>
        <v>0.35999999999999943</v>
      </c>
      <c r="W31" t="str">
        <f t="shared" ca="1" si="18"/>
        <v/>
      </c>
      <c r="X31" s="2">
        <f t="shared" ca="1" si="13"/>
        <v>0</v>
      </c>
      <c r="Z31" s="11" t="s">
        <v>31</v>
      </c>
      <c r="AA31">
        <f t="shared" ca="1" si="23"/>
        <v>0.35999999999999943</v>
      </c>
      <c r="AB31" t="str">
        <f t="shared" ca="1" si="19"/>
        <v/>
      </c>
      <c r="AC31" s="2">
        <f t="shared" ca="1" si="15"/>
        <v>0</v>
      </c>
    </row>
    <row r="32" spans="1:29" ht="13.2">
      <c r="A32" s="12" t="s">
        <v>32</v>
      </c>
      <c r="B32">
        <f t="shared" ca="1" si="2"/>
        <v>0.40000000000000568</v>
      </c>
      <c r="C32" t="str">
        <f t="shared" ca="1" si="3"/>
        <v/>
      </c>
      <c r="D32" s="2">
        <f t="shared" ca="1" si="4"/>
        <v>0</v>
      </c>
      <c r="F32" s="12" t="s">
        <v>32</v>
      </c>
      <c r="G32">
        <f t="shared" ca="1" si="5"/>
        <v>0.40000000000000568</v>
      </c>
      <c r="H32" t="str">
        <f t="shared" ca="1" si="6"/>
        <v/>
      </c>
      <c r="I32" s="2">
        <f t="shared" ca="1" si="7"/>
        <v>0</v>
      </c>
      <c r="K32" s="12" t="s">
        <v>32</v>
      </c>
      <c r="L32">
        <f t="shared" ca="1" si="20"/>
        <v>0.40000000000000568</v>
      </c>
      <c r="M32" t="str">
        <f t="shared" ca="1" si="16"/>
        <v/>
      </c>
      <c r="N32" s="2">
        <f t="shared" ca="1" si="9"/>
        <v>0</v>
      </c>
      <c r="P32" s="12" t="s">
        <v>32</v>
      </c>
      <c r="Q32">
        <f t="shared" ca="1" si="21"/>
        <v>0.40000000000000568</v>
      </c>
      <c r="R32" t="str">
        <f t="shared" ca="1" si="17"/>
        <v/>
      </c>
      <c r="S32" s="2">
        <f t="shared" ca="1" si="11"/>
        <v>0</v>
      </c>
      <c r="U32" s="12" t="s">
        <v>32</v>
      </c>
      <c r="V32">
        <f t="shared" ca="1" si="22"/>
        <v>0.40000000000000568</v>
      </c>
      <c r="W32" t="str">
        <f t="shared" ca="1" si="18"/>
        <v/>
      </c>
      <c r="X32" s="2">
        <f t="shared" ca="1" si="13"/>
        <v>0</v>
      </c>
      <c r="Z32" s="12" t="s">
        <v>32</v>
      </c>
      <c r="AA32">
        <f t="shared" ca="1" si="23"/>
        <v>0.40000000000000568</v>
      </c>
      <c r="AB32" t="str">
        <f t="shared" ca="1" si="19"/>
        <v>GL</v>
      </c>
      <c r="AC32" s="2">
        <f t="shared" ca="1" si="15"/>
        <v>9.52</v>
      </c>
    </row>
    <row r="33" spans="1:29" ht="13.2">
      <c r="A33" s="13" t="s">
        <v>33</v>
      </c>
      <c r="B33">
        <f t="shared" ca="1" si="2"/>
        <v>5.48</v>
      </c>
      <c r="C33" t="str">
        <f t="shared" ca="1" si="3"/>
        <v/>
      </c>
      <c r="D33" s="2">
        <f t="shared" ca="1" si="4"/>
        <v>0</v>
      </c>
      <c r="F33" s="13" t="s">
        <v>33</v>
      </c>
      <c r="G33">
        <f t="shared" ca="1" si="5"/>
        <v>5.48</v>
      </c>
      <c r="H33" t="str">
        <f t="shared" ca="1" si="6"/>
        <v/>
      </c>
      <c r="I33" s="2">
        <f t="shared" ca="1" si="7"/>
        <v>0</v>
      </c>
      <c r="K33" s="13" t="s">
        <v>33</v>
      </c>
      <c r="L33">
        <f ca="1">$D17 - ($B$7*$F17) - I43</f>
        <v>4.4800000000000004</v>
      </c>
      <c r="M33" t="str">
        <f t="shared" ca="1" si="16"/>
        <v/>
      </c>
      <c r="N33" s="2">
        <f t="shared" ca="1" si="9"/>
        <v>0</v>
      </c>
      <c r="P33" s="13" t="s">
        <v>33</v>
      </c>
      <c r="Q33">
        <f ca="1">$D17 - ($B$7*$F17) - N43</f>
        <v>3.4800000000000004</v>
      </c>
      <c r="R33" t="str">
        <f t="shared" ca="1" si="17"/>
        <v/>
      </c>
      <c r="S33" s="2">
        <f t="shared" ca="1" si="11"/>
        <v>0</v>
      </c>
      <c r="U33" s="13" t="s">
        <v>33</v>
      </c>
      <c r="V33">
        <f t="shared" ca="1" si="22"/>
        <v>5.48</v>
      </c>
      <c r="W33" t="str">
        <f t="shared" ca="1" si="18"/>
        <v>PP</v>
      </c>
      <c r="X33" s="2">
        <f t="shared" ca="1" si="13"/>
        <v>9.52</v>
      </c>
      <c r="Z33" s="13" t="s">
        <v>33</v>
      </c>
      <c r="AA33">
        <f t="shared" ca="1" si="23"/>
        <v>-4.0399999999999991</v>
      </c>
      <c r="AB33" t="str">
        <f t="shared" ca="1" si="19"/>
        <v/>
      </c>
      <c r="AC33" s="2">
        <f t="shared" ca="1" si="15"/>
        <v>9.52</v>
      </c>
    </row>
    <row r="34" spans="1:29" ht="13.2">
      <c r="A34" s="2" t="s">
        <v>85</v>
      </c>
      <c r="B34">
        <f ca="1">MAX(B26:B33)</f>
        <v>9.48</v>
      </c>
      <c r="F34" s="2" t="s">
        <v>85</v>
      </c>
      <c r="G34">
        <f ca="1">MAX(G26:G33)</f>
        <v>9</v>
      </c>
      <c r="K34" s="2" t="s">
        <v>85</v>
      </c>
      <c r="L34">
        <f ca="1">MAX(L26:L33)</f>
        <v>6.9600000000000009</v>
      </c>
      <c r="P34" s="2" t="s">
        <v>85</v>
      </c>
      <c r="Q34">
        <f ca="1">MAX(Q26, Q29:Q33)</f>
        <v>5.9600000000000009</v>
      </c>
      <c r="U34" s="2" t="s">
        <v>85</v>
      </c>
      <c r="V34">
        <f ca="1">MAX(V26, V29:V33)</f>
        <v>5.48</v>
      </c>
      <c r="Z34" s="2" t="s">
        <v>85</v>
      </c>
      <c r="AA34">
        <f ca="1">MAX(AA26, AA29:AA33)</f>
        <v>0.40000000000000568</v>
      </c>
    </row>
    <row r="35" spans="1:29" ht="13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ht="13.2">
      <c r="B36" s="2"/>
    </row>
    <row r="37" spans="1:29" ht="13.2">
      <c r="B37" s="2"/>
    </row>
    <row r="38" spans="1:29" ht="13.2">
      <c r="B38" s="2"/>
    </row>
    <row r="39" spans="1:29" ht="13.2">
      <c r="B39" s="2"/>
    </row>
    <row r="41" spans="1:29" ht="13.8">
      <c r="B41" s="38" t="s">
        <v>86</v>
      </c>
    </row>
    <row r="42" spans="1:29" ht="13.2">
      <c r="A42">
        <f>F21</f>
        <v>4</v>
      </c>
      <c r="B42" s="2" t="s">
        <v>87</v>
      </c>
      <c r="C42" s="2" t="s">
        <v>83</v>
      </c>
      <c r="D42" s="2" t="s">
        <v>84</v>
      </c>
      <c r="F42">
        <f>A42-1</f>
        <v>3</v>
      </c>
      <c r="G42" s="2" t="s">
        <v>87</v>
      </c>
      <c r="H42" s="2" t="s">
        <v>83</v>
      </c>
      <c r="K42">
        <f>F42-1</f>
        <v>2</v>
      </c>
      <c r="L42" s="2" t="s">
        <v>87</v>
      </c>
      <c r="M42" s="2" t="s">
        <v>83</v>
      </c>
      <c r="P42">
        <f>K42-1</f>
        <v>1</v>
      </c>
      <c r="Q42" s="2" t="s">
        <v>87</v>
      </c>
      <c r="R42" s="2" t="s">
        <v>83</v>
      </c>
      <c r="U42">
        <f>P42-1</f>
        <v>0</v>
      </c>
      <c r="V42" s="2" t="s">
        <v>87</v>
      </c>
      <c r="W42" s="2" t="s">
        <v>83</v>
      </c>
      <c r="Z42">
        <f>U42-1</f>
        <v>-1</v>
      </c>
      <c r="AA42" s="2" t="s">
        <v>87</v>
      </c>
      <c r="AB42" s="2" t="s">
        <v>83</v>
      </c>
    </row>
    <row r="43" spans="1:29" ht="13.2">
      <c r="A43" s="7" t="s">
        <v>63</v>
      </c>
      <c r="B43" s="39">
        <f ca="1">($D11+$D14) / ($F11+$F14+1)</f>
        <v>11</v>
      </c>
      <c r="C43" t="str">
        <f t="shared" ref="C43:C44" ca="1" si="24">IF(B43=B$52, A43, "")</f>
        <v>Lijstverbinding</v>
      </c>
      <c r="D43" s="2">
        <f t="shared" ref="D43:D51" ca="1" si="25">IF(C43=A43, 1, 0)</f>
        <v>1</v>
      </c>
      <c r="F43" s="7" t="s">
        <v>63</v>
      </c>
      <c r="G43" s="39">
        <f ca="1">($D11+$D14) / ($F11+$F14+1+D43)</f>
        <v>8.8000000000000007</v>
      </c>
      <c r="H43" t="str">
        <f t="shared" ref="H43:H44" ca="1" si="26">IF(G43=G$52, F43, "")</f>
        <v/>
      </c>
      <c r="I43" s="40">
        <f t="shared" ref="I43:I51" ca="1" si="27">IF(H43=A43, 1, 0)+D43</f>
        <v>1</v>
      </c>
      <c r="K43" s="7" t="s">
        <v>63</v>
      </c>
      <c r="L43" s="39">
        <f ca="1">($D11+$D14) / ($F11+$F14+1+I43)</f>
        <v>8.8000000000000007</v>
      </c>
      <c r="M43" t="str">
        <f t="shared" ref="M43:M44" ca="1" si="28">IF(L43=L$52, K43, "")</f>
        <v>Lijstverbinding</v>
      </c>
      <c r="N43" s="40">
        <f t="shared" ref="N43:N51" ca="1" si="29">IF(M43=F43, 1, 0)+I43</f>
        <v>2</v>
      </c>
      <c r="P43" s="7" t="s">
        <v>63</v>
      </c>
      <c r="Q43" s="39">
        <f ca="1">($D11+$D14) / ($F11+$F14+1+N43)</f>
        <v>7.333333333333333</v>
      </c>
      <c r="R43" t="str">
        <f t="shared" ref="R43:R44" ca="1" si="30">IF(Q43=Q$52, P43, "")</f>
        <v/>
      </c>
      <c r="S43" s="40">
        <f t="shared" ref="S43:S51" ca="1" si="31">IF(R43=K43, 1, 0)+N43</f>
        <v>2</v>
      </c>
      <c r="U43" s="7" t="s">
        <v>63</v>
      </c>
      <c r="V43" s="39">
        <f ca="1">($D11+$D14) / ($F11+$F14+1+S43)</f>
        <v>7.333333333333333</v>
      </c>
      <c r="W43" t="str">
        <f t="shared" ref="W43:W44" ca="1" si="32">IF(V43=V$52, U43, "")</f>
        <v/>
      </c>
      <c r="X43" s="40">
        <f t="shared" ref="X43:X51" ca="1" si="33">IF(W43=P43, 1, 0)+S43</f>
        <v>2</v>
      </c>
      <c r="Z43" s="7" t="s">
        <v>63</v>
      </c>
      <c r="AA43" s="39">
        <f ca="1">($D11+$D14) / ($F11+$F14+1+X43)</f>
        <v>7.333333333333333</v>
      </c>
      <c r="AB43" t="str">
        <f t="shared" ref="AB43:AB44" ca="1" si="34">IF(AA43=AA$52, Z43, "")</f>
        <v/>
      </c>
      <c r="AC43" s="40">
        <f t="shared" ref="AC43:AC51" ca="1" si="35">IF(AB43=U43, 1, 0)+X43</f>
        <v>2</v>
      </c>
    </row>
    <row r="44" spans="1:29" ht="13.2">
      <c r="A44" s="6" t="s">
        <v>26</v>
      </c>
      <c r="B44">
        <f t="shared" ref="B44:B51" ca="1" si="36">$D10 / ($F10+1)</f>
        <v>8.6666666666666661</v>
      </c>
      <c r="C44" t="str">
        <f t="shared" ca="1" si="24"/>
        <v/>
      </c>
      <c r="D44" s="2">
        <f t="shared" ca="1" si="25"/>
        <v>0</v>
      </c>
      <c r="F44" s="6" t="s">
        <v>26</v>
      </c>
      <c r="G44">
        <f t="shared" ref="G44:G51" ca="1" si="37">$D10 / ($F10+1+D44)</f>
        <v>8.6666666666666661</v>
      </c>
      <c r="H44" t="str">
        <f t="shared" ca="1" si="26"/>
        <v/>
      </c>
      <c r="I44" s="40">
        <f t="shared" ca="1" si="27"/>
        <v>0</v>
      </c>
      <c r="K44" s="6" t="s">
        <v>26</v>
      </c>
      <c r="L44">
        <f t="shared" ref="L44:L51" ca="1" si="38">$D10 / ($F10+1+I44)</f>
        <v>8.6666666666666661</v>
      </c>
      <c r="M44" t="str">
        <f t="shared" ca="1" si="28"/>
        <v/>
      </c>
      <c r="N44" s="40">
        <f t="shared" ca="1" si="29"/>
        <v>0</v>
      </c>
      <c r="P44" s="6" t="s">
        <v>26</v>
      </c>
      <c r="Q44">
        <f t="shared" ref="Q44:Q51" ca="1" si="39">$D10 / ($F10+1+N44)</f>
        <v>8.6666666666666661</v>
      </c>
      <c r="R44" t="str">
        <f t="shared" ca="1" si="30"/>
        <v>VVD</v>
      </c>
      <c r="S44" s="40">
        <f t="shared" ca="1" si="31"/>
        <v>1</v>
      </c>
      <c r="U44" s="6" t="s">
        <v>26</v>
      </c>
      <c r="V44">
        <f t="shared" ref="V44:V51" ca="1" si="40">$D10 / ($F10+1+S44)</f>
        <v>6.5</v>
      </c>
      <c r="W44" t="str">
        <f t="shared" ca="1" si="32"/>
        <v/>
      </c>
      <c r="X44" s="40">
        <f t="shared" ca="1" si="33"/>
        <v>1</v>
      </c>
      <c r="Z44" s="6" t="s">
        <v>26</v>
      </c>
      <c r="AA44">
        <f t="shared" ref="AA44:AA51" ca="1" si="41">$D10 / ($F10+1+X44)</f>
        <v>6.5</v>
      </c>
      <c r="AB44" t="str">
        <f t="shared" ca="1" si="34"/>
        <v/>
      </c>
      <c r="AC44" s="40">
        <f t="shared" ca="1" si="35"/>
        <v>1</v>
      </c>
    </row>
    <row r="45" spans="1:29" ht="13.2">
      <c r="A45" s="7" t="s">
        <v>27</v>
      </c>
      <c r="B45">
        <f t="shared" ca="1" si="36"/>
        <v>9.5</v>
      </c>
      <c r="C45" t="str">
        <f ca="1">IF(AND(C43="Lijstverbinding", B45 &gt; B48) = TRUE, "PPvdA", "")</f>
        <v>PPvdA</v>
      </c>
      <c r="D45" s="2">
        <f t="shared" ca="1" si="25"/>
        <v>1</v>
      </c>
      <c r="F45" s="7" t="s">
        <v>27</v>
      </c>
      <c r="G45">
        <f t="shared" ca="1" si="37"/>
        <v>6.333333333333333</v>
      </c>
      <c r="H45" t="str">
        <f ca="1">IF(AND(H43="Lijstverbinding", G45 &gt; G48) = TRUE, "PPvdA", "")</f>
        <v/>
      </c>
      <c r="I45" s="40">
        <f t="shared" ca="1" si="27"/>
        <v>1</v>
      </c>
      <c r="K45" s="7" t="s">
        <v>27</v>
      </c>
      <c r="L45">
        <f t="shared" ca="1" si="38"/>
        <v>6.333333333333333</v>
      </c>
      <c r="M45" t="str">
        <f ca="1">IF(AND(M43="Lijstverbinding", L45 &gt; L48) = TRUE, "PPvdA", "")</f>
        <v/>
      </c>
      <c r="N45" s="40">
        <f t="shared" ca="1" si="29"/>
        <v>1</v>
      </c>
      <c r="P45" s="7" t="s">
        <v>27</v>
      </c>
      <c r="Q45">
        <f t="shared" ca="1" si="39"/>
        <v>6.333333333333333</v>
      </c>
      <c r="R45" t="str">
        <f ca="1">IF(AND(R43="Lijstverbinding", Q45 &gt; Q48) = TRUE, "PPvdA", "")</f>
        <v/>
      </c>
      <c r="S45" s="40">
        <f t="shared" ca="1" si="31"/>
        <v>1</v>
      </c>
      <c r="U45" s="7" t="s">
        <v>27</v>
      </c>
      <c r="V45">
        <f t="shared" ca="1" si="40"/>
        <v>6.333333333333333</v>
      </c>
      <c r="W45" t="str">
        <f ca="1">IF(AND(W43="Lijstverbinding", V45 &gt; V48) = TRUE, "PPvdA", "")</f>
        <v/>
      </c>
      <c r="X45" s="40">
        <f t="shared" ca="1" si="33"/>
        <v>1</v>
      </c>
      <c r="Z45" s="7" t="s">
        <v>27</v>
      </c>
      <c r="AA45">
        <f t="shared" ca="1" si="41"/>
        <v>6.333333333333333</v>
      </c>
      <c r="AB45" t="str">
        <f ca="1">IF(AND(AB43="Lijstverbinding", AA45 &gt; AA48) = TRUE, "PPvdA", "")</f>
        <v/>
      </c>
      <c r="AC45" s="40">
        <f t="shared" ca="1" si="35"/>
        <v>1</v>
      </c>
    </row>
    <row r="46" spans="1:29" ht="13.2">
      <c r="A46" s="8" t="s">
        <v>28</v>
      </c>
      <c r="B46">
        <f t="shared" ca="1" si="36"/>
        <v>7.25</v>
      </c>
      <c r="C46" t="str">
        <f t="shared" ref="C46:C47" ca="1" si="42">IF(B46=B$52, A46, "")</f>
        <v/>
      </c>
      <c r="D46" s="2">
        <f t="shared" ca="1" si="25"/>
        <v>0</v>
      </c>
      <c r="F46" s="8" t="s">
        <v>28</v>
      </c>
      <c r="G46">
        <f t="shared" ca="1" si="37"/>
        <v>7.25</v>
      </c>
      <c r="H46" t="str">
        <f t="shared" ref="H46:H47" ca="1" si="43">IF(G46=G$52, F46, "")</f>
        <v/>
      </c>
      <c r="I46" s="40">
        <f t="shared" ca="1" si="27"/>
        <v>0</v>
      </c>
      <c r="K46" s="8" t="s">
        <v>28</v>
      </c>
      <c r="L46">
        <f t="shared" ca="1" si="38"/>
        <v>7.25</v>
      </c>
      <c r="M46" t="str">
        <f t="shared" ref="M46:M47" ca="1" si="44">IF(L46=L$52, K46, "")</f>
        <v/>
      </c>
      <c r="N46" s="40">
        <f t="shared" ca="1" si="29"/>
        <v>0</v>
      </c>
      <c r="P46" s="8" t="s">
        <v>28</v>
      </c>
      <c r="Q46">
        <f t="shared" ca="1" si="39"/>
        <v>7.25</v>
      </c>
      <c r="R46" t="str">
        <f t="shared" ref="R46:R47" ca="1" si="45">IF(Q46=Q$52, P46, "")</f>
        <v/>
      </c>
      <c r="S46" s="40">
        <f t="shared" ca="1" si="31"/>
        <v>0</v>
      </c>
      <c r="U46" s="8" t="s">
        <v>28</v>
      </c>
      <c r="V46">
        <f t="shared" ca="1" si="40"/>
        <v>7.25</v>
      </c>
      <c r="W46" t="str">
        <f t="shared" ref="W46:W47" ca="1" si="46">IF(V46=V$52, U46, "")</f>
        <v/>
      </c>
      <c r="X46" s="40">
        <f t="shared" ca="1" si="33"/>
        <v>0</v>
      </c>
      <c r="Z46" s="8" t="s">
        <v>28</v>
      </c>
      <c r="AA46">
        <f t="shared" ca="1" si="41"/>
        <v>7.25</v>
      </c>
      <c r="AB46" t="str">
        <f t="shared" ref="AB46:AB47" ca="1" si="47">IF(AA46=AA$52, Z46, "")</f>
        <v/>
      </c>
      <c r="AC46" s="40">
        <f t="shared" ca="1" si="35"/>
        <v>0</v>
      </c>
    </row>
    <row r="47" spans="1:29" ht="13.2">
      <c r="A47" s="9" t="s">
        <v>29</v>
      </c>
      <c r="B47">
        <f t="shared" ca="1" si="36"/>
        <v>9</v>
      </c>
      <c r="C47" t="str">
        <f t="shared" ca="1" si="42"/>
        <v/>
      </c>
      <c r="D47" s="2">
        <f t="shared" ca="1" si="25"/>
        <v>0</v>
      </c>
      <c r="F47" s="9" t="s">
        <v>29</v>
      </c>
      <c r="G47">
        <f t="shared" ca="1" si="37"/>
        <v>9</v>
      </c>
      <c r="H47" t="str">
        <f t="shared" ca="1" si="43"/>
        <v>CDA</v>
      </c>
      <c r="I47" s="40">
        <f t="shared" ca="1" si="27"/>
        <v>1</v>
      </c>
      <c r="K47" s="9" t="s">
        <v>29</v>
      </c>
      <c r="L47">
        <f t="shared" ca="1" si="38"/>
        <v>4.5</v>
      </c>
      <c r="M47" t="str">
        <f t="shared" ca="1" si="44"/>
        <v/>
      </c>
      <c r="N47" s="40">
        <f t="shared" ca="1" si="29"/>
        <v>1</v>
      </c>
      <c r="P47" s="9" t="s">
        <v>29</v>
      </c>
      <c r="Q47">
        <f t="shared" ca="1" si="39"/>
        <v>4.5</v>
      </c>
      <c r="R47" t="str">
        <f t="shared" ca="1" si="45"/>
        <v/>
      </c>
      <c r="S47" s="40">
        <f t="shared" ca="1" si="31"/>
        <v>1</v>
      </c>
      <c r="U47" s="9" t="s">
        <v>29</v>
      </c>
      <c r="V47">
        <f t="shared" ca="1" si="40"/>
        <v>4.5</v>
      </c>
      <c r="W47" t="str">
        <f t="shared" ca="1" si="46"/>
        <v/>
      </c>
      <c r="X47" s="40">
        <f t="shared" ca="1" si="33"/>
        <v>1</v>
      </c>
      <c r="Z47" s="9" t="s">
        <v>29</v>
      </c>
      <c r="AA47">
        <f t="shared" ca="1" si="41"/>
        <v>4.5</v>
      </c>
      <c r="AB47" t="str">
        <f t="shared" ca="1" si="47"/>
        <v/>
      </c>
      <c r="AC47" s="40">
        <f t="shared" ca="1" si="35"/>
        <v>1</v>
      </c>
    </row>
    <row r="48" spans="1:29" ht="13.2">
      <c r="A48" s="10" t="s">
        <v>30</v>
      </c>
      <c r="B48">
        <f t="shared" ca="1" si="36"/>
        <v>8.3333333333333339</v>
      </c>
      <c r="C48" t="str">
        <f ca="1">IF(AND(C43="Lijstverbinding", B48 &gt; B45) = TRUE, "MPN", "")</f>
        <v/>
      </c>
      <c r="D48" s="2">
        <f t="shared" ca="1" si="25"/>
        <v>0</v>
      </c>
      <c r="F48" s="10" t="s">
        <v>30</v>
      </c>
      <c r="G48">
        <f t="shared" ca="1" si="37"/>
        <v>8.3333333333333339</v>
      </c>
      <c r="H48" t="str">
        <f ca="1">IF(AND(H43="Lijstverbinding", G48 &gt; G45) = TRUE, "MPN", "")</f>
        <v/>
      </c>
      <c r="I48" s="40">
        <f t="shared" ca="1" si="27"/>
        <v>0</v>
      </c>
      <c r="K48" s="10" t="s">
        <v>30</v>
      </c>
      <c r="L48">
        <f t="shared" ca="1" si="38"/>
        <v>8.3333333333333339</v>
      </c>
      <c r="M48" t="str">
        <f ca="1">IF(AND(M43="Lijstverbinding", L48 &gt; L45) = TRUE, "MPN", "")</f>
        <v>MPN</v>
      </c>
      <c r="N48" s="40">
        <f t="shared" ca="1" si="29"/>
        <v>1</v>
      </c>
      <c r="P48" s="10" t="s">
        <v>30</v>
      </c>
      <c r="Q48">
        <f t="shared" ca="1" si="39"/>
        <v>6.25</v>
      </c>
      <c r="R48" t="str">
        <f ca="1">IF(AND(R43="Lijstverbinding", Q48 &gt; Q45) = TRUE, "MPN", "")</f>
        <v/>
      </c>
      <c r="S48" s="40">
        <f t="shared" ca="1" si="31"/>
        <v>1</v>
      </c>
      <c r="U48" s="10" t="s">
        <v>30</v>
      </c>
      <c r="V48">
        <f t="shared" ca="1" si="40"/>
        <v>6.25</v>
      </c>
      <c r="W48" t="str">
        <f ca="1">IF(AND(W43="Lijstverbinding", V48 &gt; V45) = TRUE, "MPN", "")</f>
        <v/>
      </c>
      <c r="X48" s="40">
        <f t="shared" ca="1" si="33"/>
        <v>1</v>
      </c>
      <c r="Z48" s="10" t="s">
        <v>30</v>
      </c>
      <c r="AA48">
        <f t="shared" ca="1" si="41"/>
        <v>6.25</v>
      </c>
      <c r="AB48" t="str">
        <f ca="1">IF(AND(AB43="Lijstverbinding", AA48 &gt; AA45) = TRUE, "MPN", "")</f>
        <v/>
      </c>
      <c r="AC48" s="40">
        <f t="shared" ca="1" si="35"/>
        <v>1</v>
      </c>
    </row>
    <row r="49" spans="1:29" ht="13.2">
      <c r="A49" s="11" t="s">
        <v>31</v>
      </c>
      <c r="B49">
        <f t="shared" ca="1" si="36"/>
        <v>8.375</v>
      </c>
      <c r="C49" t="str">
        <f t="shared" ref="C49:C51" ca="1" si="48">IF(B49=B$52, A49, "")</f>
        <v/>
      </c>
      <c r="D49" s="2">
        <f t="shared" ca="1" si="25"/>
        <v>0</v>
      </c>
      <c r="F49" s="11" t="s">
        <v>31</v>
      </c>
      <c r="G49">
        <f t="shared" ca="1" si="37"/>
        <v>8.375</v>
      </c>
      <c r="H49" t="str">
        <f t="shared" ref="H49:H51" ca="1" si="49">IF(G49=G$52, F49, "")</f>
        <v/>
      </c>
      <c r="I49" s="40">
        <f t="shared" ca="1" si="27"/>
        <v>0</v>
      </c>
      <c r="K49" s="11" t="s">
        <v>31</v>
      </c>
      <c r="L49">
        <f t="shared" ca="1" si="38"/>
        <v>8.375</v>
      </c>
      <c r="M49" t="str">
        <f t="shared" ref="M49:M51" ca="1" si="50">IF(L49=L$52, K49, "")</f>
        <v/>
      </c>
      <c r="N49" s="40">
        <f t="shared" ca="1" si="29"/>
        <v>0</v>
      </c>
      <c r="P49" s="11" t="s">
        <v>31</v>
      </c>
      <c r="Q49">
        <f t="shared" ca="1" si="39"/>
        <v>8.375</v>
      </c>
      <c r="R49" t="str">
        <f t="shared" ref="R49:R51" ca="1" si="51">IF(Q49=Q$52, P49, "")</f>
        <v/>
      </c>
      <c r="S49" s="40">
        <f t="shared" ca="1" si="31"/>
        <v>0</v>
      </c>
      <c r="U49" s="11" t="s">
        <v>31</v>
      </c>
      <c r="V49">
        <f t="shared" ca="1" si="40"/>
        <v>8.375</v>
      </c>
      <c r="W49" t="str">
        <f t="shared" ref="W49:W51" ca="1" si="52">IF(V49=V$52, U49, "")</f>
        <v>D66</v>
      </c>
      <c r="X49" s="40">
        <f t="shared" ca="1" si="33"/>
        <v>1</v>
      </c>
      <c r="Z49" s="11" t="s">
        <v>31</v>
      </c>
      <c r="AA49">
        <f t="shared" ca="1" si="41"/>
        <v>7.4444444444444446</v>
      </c>
      <c r="AB49" t="str">
        <f t="shared" ref="AB49:AB51" ca="1" si="53">IF(AA49=AA$52, Z49, "")</f>
        <v/>
      </c>
      <c r="AC49" s="40">
        <f t="shared" ca="1" si="35"/>
        <v>1</v>
      </c>
    </row>
    <row r="50" spans="1:29" ht="13.2">
      <c r="A50" s="12" t="s">
        <v>32</v>
      </c>
      <c r="B50">
        <f t="shared" ca="1" si="36"/>
        <v>8</v>
      </c>
      <c r="C50" t="str">
        <f t="shared" ca="1" si="48"/>
        <v/>
      </c>
      <c r="D50" s="2">
        <f t="shared" ca="1" si="25"/>
        <v>0</v>
      </c>
      <c r="F50" s="12" t="s">
        <v>32</v>
      </c>
      <c r="G50">
        <f t="shared" ca="1" si="37"/>
        <v>8</v>
      </c>
      <c r="H50" t="str">
        <f t="shared" ca="1" si="49"/>
        <v/>
      </c>
      <c r="I50" s="40">
        <f t="shared" ca="1" si="27"/>
        <v>0</v>
      </c>
      <c r="K50" s="12" t="s">
        <v>32</v>
      </c>
      <c r="L50">
        <f t="shared" ca="1" si="38"/>
        <v>8</v>
      </c>
      <c r="M50" t="str">
        <f t="shared" ca="1" si="50"/>
        <v/>
      </c>
      <c r="N50" s="40">
        <f t="shared" ca="1" si="29"/>
        <v>0</v>
      </c>
      <c r="P50" s="12" t="s">
        <v>32</v>
      </c>
      <c r="Q50">
        <f t="shared" ca="1" si="39"/>
        <v>8</v>
      </c>
      <c r="R50" t="str">
        <f t="shared" ca="1" si="51"/>
        <v/>
      </c>
      <c r="S50" s="40">
        <f t="shared" ca="1" si="31"/>
        <v>0</v>
      </c>
      <c r="U50" s="12" t="s">
        <v>32</v>
      </c>
      <c r="V50">
        <f t="shared" ca="1" si="40"/>
        <v>8</v>
      </c>
      <c r="W50" t="str">
        <f t="shared" ca="1" si="52"/>
        <v/>
      </c>
      <c r="X50" s="40">
        <f t="shared" ca="1" si="33"/>
        <v>0</v>
      </c>
      <c r="Z50" s="12" t="s">
        <v>32</v>
      </c>
      <c r="AA50">
        <f t="shared" ca="1" si="41"/>
        <v>8</v>
      </c>
      <c r="AB50" t="str">
        <f t="shared" ca="1" si="53"/>
        <v>GL</v>
      </c>
      <c r="AC50" s="40">
        <f t="shared" ca="1" si="35"/>
        <v>1</v>
      </c>
    </row>
    <row r="51" spans="1:29" ht="13.2">
      <c r="A51" s="13" t="s">
        <v>33</v>
      </c>
      <c r="B51">
        <f t="shared" ca="1" si="36"/>
        <v>7.5</v>
      </c>
      <c r="C51" t="str">
        <f t="shared" ca="1" si="48"/>
        <v/>
      </c>
      <c r="D51" s="2">
        <f t="shared" ca="1" si="25"/>
        <v>0</v>
      </c>
      <c r="F51" s="13" t="s">
        <v>33</v>
      </c>
      <c r="G51">
        <f t="shared" ca="1" si="37"/>
        <v>7.5</v>
      </c>
      <c r="H51" t="str">
        <f t="shared" ca="1" si="49"/>
        <v/>
      </c>
      <c r="I51" s="40">
        <f t="shared" ca="1" si="27"/>
        <v>0</v>
      </c>
      <c r="K51" s="13" t="s">
        <v>33</v>
      </c>
      <c r="L51">
        <f t="shared" ca="1" si="38"/>
        <v>7.5</v>
      </c>
      <c r="M51" t="str">
        <f t="shared" ca="1" si="50"/>
        <v/>
      </c>
      <c r="N51" s="40">
        <f t="shared" ca="1" si="29"/>
        <v>0</v>
      </c>
      <c r="P51" s="13" t="s">
        <v>33</v>
      </c>
      <c r="Q51">
        <f t="shared" ca="1" si="39"/>
        <v>7.5</v>
      </c>
      <c r="R51" t="str">
        <f t="shared" ca="1" si="51"/>
        <v/>
      </c>
      <c r="S51" s="40">
        <f t="shared" ca="1" si="31"/>
        <v>0</v>
      </c>
      <c r="U51" s="13" t="s">
        <v>33</v>
      </c>
      <c r="V51">
        <f t="shared" ca="1" si="40"/>
        <v>7.5</v>
      </c>
      <c r="W51" t="str">
        <f t="shared" ca="1" si="52"/>
        <v/>
      </c>
      <c r="X51" s="40">
        <f t="shared" ca="1" si="33"/>
        <v>0</v>
      </c>
      <c r="Z51" s="13" t="s">
        <v>33</v>
      </c>
      <c r="AA51">
        <f t="shared" ca="1" si="41"/>
        <v>7.5</v>
      </c>
      <c r="AB51" t="str">
        <f t="shared" ca="1" si="53"/>
        <v/>
      </c>
      <c r="AC51" s="40">
        <f t="shared" ca="1" si="35"/>
        <v>0</v>
      </c>
    </row>
    <row r="52" spans="1:29" ht="13.2">
      <c r="A52" s="2" t="s">
        <v>85</v>
      </c>
      <c r="B52">
        <f ca="1">MAX(B43:B51)</f>
        <v>11</v>
      </c>
      <c r="F52" s="2" t="s">
        <v>85</v>
      </c>
      <c r="G52">
        <f ca="1">MAX(G43:G51)</f>
        <v>9</v>
      </c>
      <c r="K52" s="2" t="s">
        <v>85</v>
      </c>
      <c r="L52">
        <f ca="1">MAX(L43:L51)</f>
        <v>8.8000000000000007</v>
      </c>
      <c r="P52" s="2" t="s">
        <v>85</v>
      </c>
      <c r="Q52">
        <f ca="1">MAX(Q43:Q51)</f>
        <v>8.6666666666666661</v>
      </c>
      <c r="U52" s="2" t="s">
        <v>85</v>
      </c>
      <c r="V52">
        <f ca="1">MAX(V43:V51)</f>
        <v>8.375</v>
      </c>
      <c r="Z52" s="2" t="s">
        <v>85</v>
      </c>
      <c r="AA52">
        <f ca="1">MAX(AA43:AA51)</f>
        <v>8</v>
      </c>
    </row>
    <row r="53" spans="1:29" ht="13.2">
      <c r="A53" s="2" t="s">
        <v>88</v>
      </c>
      <c r="D53">
        <f ca="1">SUM(D44:D51)</f>
        <v>1</v>
      </c>
      <c r="F53" s="2" t="s">
        <v>88</v>
      </c>
      <c r="I53">
        <f ca="1">SUM(I44:I51)</f>
        <v>2</v>
      </c>
      <c r="K53" s="2" t="s">
        <v>88</v>
      </c>
      <c r="N53">
        <f ca="1">SUM(N44:N51)</f>
        <v>3</v>
      </c>
      <c r="P53" s="2" t="s">
        <v>88</v>
      </c>
      <c r="S53">
        <f ca="1">SUM(S44:S51)</f>
        <v>4</v>
      </c>
      <c r="U53" s="2" t="s">
        <v>88</v>
      </c>
      <c r="X53">
        <f ca="1">SUM(X44:X51)</f>
        <v>5</v>
      </c>
      <c r="Z53" s="2" t="s">
        <v>88</v>
      </c>
      <c r="AC53">
        <f ca="1">SUM(AC44:AC51)</f>
        <v>6</v>
      </c>
    </row>
    <row r="54" spans="1:29" ht="13.2">
      <c r="D54" t="str">
        <f ca="1">IF(D53=$F$21, "STOP HIER!!!", "")</f>
        <v/>
      </c>
      <c r="I54" t="str">
        <f ca="1">IF(I53=$F$21, "STOP HIER!!!", "")</f>
        <v/>
      </c>
      <c r="N54" t="str">
        <f ca="1">IF(N53=$F$21, "STOP HIER!!!", "")</f>
        <v/>
      </c>
      <c r="S54" t="str">
        <f ca="1">IF(S53=$F$21, "STOP HIER!!!", "")</f>
        <v>STOP HIER!!!</v>
      </c>
      <c r="X54" t="str">
        <f ca="1">IF(X53=$F$21, "STOP HIER!!!", "")</f>
        <v/>
      </c>
      <c r="AC54" t="str">
        <f ca="1">IF(AC53=$F$21, "STOP HIER!!!", "")</f>
        <v/>
      </c>
    </row>
    <row r="57" spans="1:29" ht="13.2">
      <c r="A57" t="str">
        <f ca="1">IF(D54="STOP HIER!!!", "Deze", "")</f>
        <v/>
      </c>
      <c r="B57" s="2" t="s">
        <v>60</v>
      </c>
      <c r="F57" t="str">
        <f ca="1">IF(I54="STOP HIER!!!", "Deze", "")</f>
        <v/>
      </c>
      <c r="G57" s="2" t="s">
        <v>60</v>
      </c>
      <c r="K57" t="str">
        <f ca="1">IF(N54="STOP HIER!!!", "Deze", "")</f>
        <v/>
      </c>
      <c r="L57" s="2" t="s">
        <v>60</v>
      </c>
      <c r="P57" t="str">
        <f ca="1">IF(S54="STOP HIER!!!", "Deze", "")</f>
        <v>Deze</v>
      </c>
      <c r="Q57" s="2" t="s">
        <v>60</v>
      </c>
      <c r="U57" t="str">
        <f ca="1">IF(X54="STOP HIER!!!", "Deze", "")</f>
        <v/>
      </c>
      <c r="V57" s="2" t="s">
        <v>60</v>
      </c>
      <c r="Z57" t="str">
        <f ca="1">IF(AC54="STOP HIER!!!", "Deze", "")</f>
        <v/>
      </c>
      <c r="AA57" s="2" t="s">
        <v>60</v>
      </c>
    </row>
    <row r="58" spans="1:29" ht="13.2">
      <c r="A58" s="6" t="s">
        <v>26</v>
      </c>
      <c r="B58">
        <f t="shared" ref="B58:B65" ca="1" si="54">$F10+D44</f>
        <v>2</v>
      </c>
      <c r="F58" s="6" t="s">
        <v>26</v>
      </c>
      <c r="G58">
        <f t="shared" ref="G58:G65" ca="1" si="55">$F10+I44</f>
        <v>2</v>
      </c>
      <c r="K58" s="6" t="s">
        <v>26</v>
      </c>
      <c r="L58">
        <f t="shared" ref="L58:L65" ca="1" si="56">$F10+N44</f>
        <v>2</v>
      </c>
      <c r="P58" s="6" t="s">
        <v>26</v>
      </c>
      <c r="Q58">
        <f t="shared" ref="Q58:Q65" ca="1" si="57">$F10+S44</f>
        <v>3</v>
      </c>
      <c r="U58" s="6" t="s">
        <v>26</v>
      </c>
      <c r="V58">
        <f t="shared" ref="V58:V65" ca="1" si="58">$F10+X44</f>
        <v>3</v>
      </c>
      <c r="Z58" s="6" t="s">
        <v>26</v>
      </c>
      <c r="AA58">
        <f t="shared" ref="AA58:AA65" ca="1" si="59">$F10+AC44</f>
        <v>3</v>
      </c>
    </row>
    <row r="59" spans="1:29" ht="13.2">
      <c r="A59" s="7" t="s">
        <v>27</v>
      </c>
      <c r="B59">
        <f t="shared" ca="1" si="54"/>
        <v>2</v>
      </c>
      <c r="F59" s="7" t="s">
        <v>27</v>
      </c>
      <c r="G59">
        <f t="shared" ca="1" si="55"/>
        <v>2</v>
      </c>
      <c r="K59" s="7" t="s">
        <v>27</v>
      </c>
      <c r="L59">
        <f t="shared" ca="1" si="56"/>
        <v>2</v>
      </c>
      <c r="P59" s="7" t="s">
        <v>27</v>
      </c>
      <c r="Q59">
        <f t="shared" ca="1" si="57"/>
        <v>2</v>
      </c>
      <c r="U59" s="7" t="s">
        <v>27</v>
      </c>
      <c r="V59">
        <f t="shared" ca="1" si="58"/>
        <v>2</v>
      </c>
      <c r="Z59" s="7" t="s">
        <v>27</v>
      </c>
      <c r="AA59">
        <f t="shared" ca="1" si="59"/>
        <v>2</v>
      </c>
    </row>
    <row r="60" spans="1:29" ht="13.2">
      <c r="A60" s="8" t="s">
        <v>28</v>
      </c>
      <c r="B60">
        <f t="shared" ca="1" si="54"/>
        <v>3</v>
      </c>
      <c r="F60" s="8" t="s">
        <v>28</v>
      </c>
      <c r="G60">
        <f t="shared" ca="1" si="55"/>
        <v>3</v>
      </c>
      <c r="K60" s="8" t="s">
        <v>28</v>
      </c>
      <c r="L60">
        <f t="shared" ca="1" si="56"/>
        <v>3</v>
      </c>
      <c r="P60" s="8" t="s">
        <v>28</v>
      </c>
      <c r="Q60">
        <f t="shared" ca="1" si="57"/>
        <v>3</v>
      </c>
      <c r="U60" s="8" t="s">
        <v>28</v>
      </c>
      <c r="V60">
        <f t="shared" ca="1" si="58"/>
        <v>3</v>
      </c>
      <c r="Z60" s="8" t="s">
        <v>28</v>
      </c>
      <c r="AA60">
        <f t="shared" ca="1" si="59"/>
        <v>3</v>
      </c>
    </row>
    <row r="61" spans="1:29" ht="13.2">
      <c r="A61" s="9" t="s">
        <v>29</v>
      </c>
      <c r="B61">
        <f t="shared" ca="1" si="54"/>
        <v>0</v>
      </c>
      <c r="F61" s="9" t="s">
        <v>29</v>
      </c>
      <c r="G61">
        <f t="shared" ca="1" si="55"/>
        <v>1</v>
      </c>
      <c r="K61" s="9" t="s">
        <v>29</v>
      </c>
      <c r="L61">
        <f t="shared" ca="1" si="56"/>
        <v>1</v>
      </c>
      <c r="P61" s="9" t="s">
        <v>29</v>
      </c>
      <c r="Q61">
        <f t="shared" ca="1" si="57"/>
        <v>1</v>
      </c>
      <c r="U61" s="9" t="s">
        <v>29</v>
      </c>
      <c r="V61">
        <f t="shared" ca="1" si="58"/>
        <v>1</v>
      </c>
      <c r="Z61" s="9" t="s">
        <v>29</v>
      </c>
      <c r="AA61">
        <f t="shared" ca="1" si="59"/>
        <v>1</v>
      </c>
    </row>
    <row r="62" spans="1:29" ht="13.2">
      <c r="A62" s="10" t="s">
        <v>30</v>
      </c>
      <c r="B62">
        <f t="shared" ca="1" si="54"/>
        <v>2</v>
      </c>
      <c r="F62" s="10" t="s">
        <v>30</v>
      </c>
      <c r="G62">
        <f t="shared" ca="1" si="55"/>
        <v>2</v>
      </c>
      <c r="K62" s="10" t="s">
        <v>30</v>
      </c>
      <c r="L62">
        <f t="shared" ca="1" si="56"/>
        <v>3</v>
      </c>
      <c r="P62" s="10" t="s">
        <v>30</v>
      </c>
      <c r="Q62">
        <f t="shared" ca="1" si="57"/>
        <v>3</v>
      </c>
      <c r="U62" s="10" t="s">
        <v>30</v>
      </c>
      <c r="V62">
        <f t="shared" ca="1" si="58"/>
        <v>3</v>
      </c>
      <c r="Z62" s="10" t="s">
        <v>30</v>
      </c>
      <c r="AA62">
        <f t="shared" ca="1" si="59"/>
        <v>3</v>
      </c>
    </row>
    <row r="63" spans="1:29" ht="13.2">
      <c r="A63" s="11" t="s">
        <v>31</v>
      </c>
      <c r="B63">
        <f t="shared" ca="1" si="54"/>
        <v>7</v>
      </c>
      <c r="F63" s="11" t="s">
        <v>31</v>
      </c>
      <c r="G63">
        <f t="shared" ca="1" si="55"/>
        <v>7</v>
      </c>
      <c r="K63" s="11" t="s">
        <v>31</v>
      </c>
      <c r="L63">
        <f t="shared" ca="1" si="56"/>
        <v>7</v>
      </c>
      <c r="P63" s="11" t="s">
        <v>31</v>
      </c>
      <c r="Q63">
        <f t="shared" ca="1" si="57"/>
        <v>7</v>
      </c>
      <c r="U63" s="11" t="s">
        <v>31</v>
      </c>
      <c r="V63">
        <f t="shared" ca="1" si="58"/>
        <v>8</v>
      </c>
      <c r="Z63" s="11" t="s">
        <v>31</v>
      </c>
      <c r="AA63">
        <f t="shared" ca="1" si="59"/>
        <v>8</v>
      </c>
    </row>
    <row r="64" spans="1:29" ht="13.2">
      <c r="A64" s="12" t="s">
        <v>32</v>
      </c>
      <c r="B64">
        <f t="shared" ca="1" si="54"/>
        <v>5</v>
      </c>
      <c r="F64" s="12" t="s">
        <v>32</v>
      </c>
      <c r="G64">
        <f t="shared" ca="1" si="55"/>
        <v>5</v>
      </c>
      <c r="K64" s="12" t="s">
        <v>32</v>
      </c>
      <c r="L64">
        <f t="shared" ca="1" si="56"/>
        <v>5</v>
      </c>
      <c r="P64" s="12" t="s">
        <v>32</v>
      </c>
      <c r="Q64">
        <f t="shared" ca="1" si="57"/>
        <v>5</v>
      </c>
      <c r="U64" s="12" t="s">
        <v>32</v>
      </c>
      <c r="V64">
        <f t="shared" ca="1" si="58"/>
        <v>5</v>
      </c>
      <c r="Z64" s="12" t="s">
        <v>32</v>
      </c>
      <c r="AA64">
        <f t="shared" ca="1" si="59"/>
        <v>6</v>
      </c>
    </row>
    <row r="65" spans="1:27" ht="13.2">
      <c r="A65" s="13" t="s">
        <v>33</v>
      </c>
      <c r="B65">
        <f t="shared" ca="1" si="54"/>
        <v>1</v>
      </c>
      <c r="F65" s="13" t="s">
        <v>33</v>
      </c>
      <c r="G65">
        <f t="shared" ca="1" si="55"/>
        <v>1</v>
      </c>
      <c r="K65" s="13" t="s">
        <v>33</v>
      </c>
      <c r="L65">
        <f t="shared" ca="1" si="56"/>
        <v>1</v>
      </c>
      <c r="P65" s="13" t="s">
        <v>33</v>
      </c>
      <c r="Q65">
        <f t="shared" ca="1" si="57"/>
        <v>1</v>
      </c>
      <c r="U65" s="13" t="s">
        <v>33</v>
      </c>
      <c r="V65">
        <f t="shared" ca="1" si="58"/>
        <v>1</v>
      </c>
      <c r="Z65" s="13" t="s">
        <v>33</v>
      </c>
      <c r="AA65">
        <f t="shared" ca="1" si="59"/>
        <v>1</v>
      </c>
    </row>
    <row r="66" spans="1:27" ht="13.2">
      <c r="A66" s="2" t="s">
        <v>21</v>
      </c>
      <c r="B66">
        <f ca="1">SUM(B58:B65)</f>
        <v>22</v>
      </c>
      <c r="F66" s="2" t="s">
        <v>21</v>
      </c>
      <c r="G66">
        <f ca="1">SUM(G58:G65)</f>
        <v>23</v>
      </c>
      <c r="K66" s="2" t="s">
        <v>21</v>
      </c>
      <c r="L66">
        <f ca="1">SUM(L58:L65)</f>
        <v>24</v>
      </c>
      <c r="P66" s="2" t="s">
        <v>21</v>
      </c>
      <c r="Q66">
        <f ca="1">SUM(Q58:Q65)</f>
        <v>25</v>
      </c>
      <c r="U66" s="2" t="s">
        <v>21</v>
      </c>
      <c r="V66">
        <f ca="1">SUM(V58:V65)</f>
        <v>26</v>
      </c>
      <c r="Z66" s="2" t="s">
        <v>21</v>
      </c>
      <c r="AA66">
        <f ca="1">SUM(AA58:AA65)</f>
        <v>27</v>
      </c>
    </row>
  </sheetData>
  <conditionalFormatting sqref="C3">
    <cfRule type="notContainsBlanks" dxfId="1" priority="1">
      <formula>LEN(TRIM(C3))&gt;0</formula>
    </cfRule>
  </conditionalFormatting>
  <conditionalFormatting sqref="A57:AC57">
    <cfRule type="containsText" dxfId="0" priority="2" operator="containsText" text="Deze">
      <formula>NOT(ISERROR(SEARCH(("Deze"),(A57))))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Aantal stemmen per provincie</vt:lpstr>
      <vt:lpstr>Landelijke uitslagen</vt:lpstr>
      <vt:lpstr>Restzetelverdeling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Friso's Laptop</dc:creator>
  <cp:lastModifiedBy>Friso's Laptop</cp:lastModifiedBy>
  <dcterms:modified xsi:type="dcterms:W3CDTF">2020-07-14T18:05:23Z</dcterms:modified>
</cp:coreProperties>
</file>